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EROTOOLS-UAV Dropbox\AEROTOOLS-UAV\Proyectos\UC3M\6G-SORUS DRONES\Entregables\"/>
    </mc:Choice>
  </mc:AlternateContent>
  <xr:revisionPtr revIDLastSave="0" documentId="8_{306301CD-C5BE-478A-AC5E-1320F5153F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aterías LiPo" sheetId="1" r:id="rId1"/>
    <sheet name="Baterias Li-Ion" sheetId="3" r:id="rId2"/>
    <sheet name="Estimación de pesos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3" l="1"/>
  <c r="P27" i="3" s="1"/>
  <c r="N27" i="3"/>
  <c r="K27" i="3"/>
  <c r="H27" i="3"/>
  <c r="E27" i="3"/>
  <c r="S27" i="3" s="1"/>
  <c r="T27" i="3" s="1"/>
  <c r="O26" i="3"/>
  <c r="P26" i="3" s="1"/>
  <c r="N26" i="3"/>
  <c r="K26" i="3"/>
  <c r="H26" i="3"/>
  <c r="E26" i="3"/>
  <c r="S26" i="3" s="1"/>
  <c r="T26" i="3" s="1"/>
  <c r="P25" i="3"/>
  <c r="O25" i="3"/>
  <c r="N25" i="3"/>
  <c r="K25" i="3"/>
  <c r="H25" i="3"/>
  <c r="E25" i="3"/>
  <c r="S25" i="3" s="1"/>
  <c r="T25" i="3" s="1"/>
  <c r="O24" i="3"/>
  <c r="P24" i="3" s="1"/>
  <c r="N24" i="3"/>
  <c r="K24" i="3"/>
  <c r="H24" i="3"/>
  <c r="E24" i="3"/>
  <c r="S24" i="3" s="1"/>
  <c r="T24" i="3" s="1"/>
  <c r="O23" i="3"/>
  <c r="P23" i="3" s="1"/>
  <c r="N23" i="3"/>
  <c r="K23" i="3"/>
  <c r="H23" i="3"/>
  <c r="E23" i="3"/>
  <c r="S23" i="3" s="1"/>
  <c r="T23" i="3" s="1"/>
  <c r="P22" i="3"/>
  <c r="O22" i="3"/>
  <c r="N22" i="3"/>
  <c r="K22" i="3"/>
  <c r="H22" i="3"/>
  <c r="E22" i="3"/>
  <c r="S22" i="3" s="1"/>
  <c r="T22" i="3" s="1"/>
  <c r="S21" i="3"/>
  <c r="O21" i="3"/>
  <c r="P21" i="3" s="1"/>
  <c r="N21" i="3"/>
  <c r="L21" i="3"/>
  <c r="M21" i="3" s="1"/>
  <c r="T21" i="3" s="1"/>
  <c r="K21" i="3"/>
  <c r="H21" i="3"/>
  <c r="E21" i="3"/>
  <c r="S20" i="3"/>
  <c r="O20" i="3"/>
  <c r="P20" i="3" s="1"/>
  <c r="N20" i="3"/>
  <c r="K20" i="3"/>
  <c r="L20" i="3" s="1"/>
  <c r="M20" i="3" s="1"/>
  <c r="T20" i="3" s="1"/>
  <c r="H20" i="3"/>
  <c r="E20" i="3"/>
  <c r="S19" i="3"/>
  <c r="O19" i="3"/>
  <c r="P19" i="3" s="1"/>
  <c r="N19" i="3"/>
  <c r="K19" i="3"/>
  <c r="L19" i="3" s="1"/>
  <c r="M19" i="3" s="1"/>
  <c r="T19" i="3" s="1"/>
  <c r="H19" i="3"/>
  <c r="E19" i="3"/>
  <c r="O18" i="3"/>
  <c r="P18" i="3" s="1"/>
  <c r="N18" i="3"/>
  <c r="K18" i="3"/>
  <c r="L18" i="3" s="1"/>
  <c r="M18" i="3" s="1"/>
  <c r="H18" i="3"/>
  <c r="E18" i="3"/>
  <c r="S18" i="3" s="1"/>
  <c r="O16" i="3"/>
  <c r="N16" i="3"/>
  <c r="K16" i="3"/>
  <c r="P16" i="3" s="1"/>
  <c r="H16" i="3"/>
  <c r="E16" i="3"/>
  <c r="S16" i="3" s="1"/>
  <c r="O15" i="3"/>
  <c r="P15" i="3" s="1"/>
  <c r="N15" i="3"/>
  <c r="K15" i="3"/>
  <c r="L15" i="3" s="1"/>
  <c r="M15" i="3" s="1"/>
  <c r="H15" i="3"/>
  <c r="E15" i="3"/>
  <c r="S15" i="3" s="1"/>
  <c r="O14" i="3"/>
  <c r="P14" i="3" s="1"/>
  <c r="N14" i="3"/>
  <c r="L14" i="3"/>
  <c r="M14" i="3" s="1"/>
  <c r="K14" i="3"/>
  <c r="H14" i="3"/>
  <c r="E14" i="3"/>
  <c r="S14" i="3" s="1"/>
  <c r="S13" i="3"/>
  <c r="O13" i="3"/>
  <c r="P13" i="3" s="1"/>
  <c r="N13" i="3"/>
  <c r="K13" i="3"/>
  <c r="L13" i="3" s="1"/>
  <c r="M13" i="3" s="1"/>
  <c r="T13" i="3" s="1"/>
  <c r="H13" i="3"/>
  <c r="E13" i="3"/>
  <c r="S12" i="3"/>
  <c r="O12" i="3"/>
  <c r="P12" i="3" s="1"/>
  <c r="N12" i="3"/>
  <c r="K12" i="3"/>
  <c r="L12" i="3" s="1"/>
  <c r="M12" i="3" s="1"/>
  <c r="T12" i="3" s="1"/>
  <c r="H12" i="3"/>
  <c r="E12" i="3"/>
  <c r="O10" i="3"/>
  <c r="P10" i="3" s="1"/>
  <c r="N10" i="3"/>
  <c r="K10" i="3"/>
  <c r="L10" i="3" s="1"/>
  <c r="M10" i="3" s="1"/>
  <c r="T10" i="3" s="1"/>
  <c r="H10" i="3"/>
  <c r="E10" i="3"/>
  <c r="S10" i="3" s="1"/>
  <c r="O9" i="3"/>
  <c r="N9" i="3"/>
  <c r="K9" i="3"/>
  <c r="P9" i="3" s="1"/>
  <c r="H9" i="3"/>
  <c r="E9" i="3"/>
  <c r="S9" i="3" s="1"/>
  <c r="O8" i="3"/>
  <c r="P8" i="3" s="1"/>
  <c r="N8" i="3"/>
  <c r="K8" i="3"/>
  <c r="L8" i="3" s="1"/>
  <c r="M8" i="3" s="1"/>
  <c r="H8" i="3"/>
  <c r="E8" i="3"/>
  <c r="S8" i="3" s="1"/>
  <c r="O7" i="3"/>
  <c r="P7" i="3" s="1"/>
  <c r="N7" i="3"/>
  <c r="L7" i="3"/>
  <c r="M7" i="3" s="1"/>
  <c r="K7" i="3"/>
  <c r="H7" i="3"/>
  <c r="E7" i="3"/>
  <c r="S7" i="3" s="1"/>
  <c r="S6" i="3"/>
  <c r="O6" i="3"/>
  <c r="P6" i="3" s="1"/>
  <c r="N6" i="3"/>
  <c r="K6" i="3"/>
  <c r="L6" i="3" s="1"/>
  <c r="M6" i="3" s="1"/>
  <c r="T6" i="3" s="1"/>
  <c r="H6" i="3"/>
  <c r="E6" i="3"/>
  <c r="S5" i="3"/>
  <c r="O5" i="3"/>
  <c r="P5" i="3" s="1"/>
  <c r="N5" i="3"/>
  <c r="K5" i="3"/>
  <c r="L5" i="3" s="1"/>
  <c r="M5" i="3" s="1"/>
  <c r="T5" i="3" s="1"/>
  <c r="H5" i="3"/>
  <c r="E5" i="3"/>
  <c r="O4" i="3"/>
  <c r="P4" i="3" s="1"/>
  <c r="N4" i="3"/>
  <c r="K4" i="3"/>
  <c r="L4" i="3" s="1"/>
  <c r="M4" i="3" s="1"/>
  <c r="T4" i="3" s="1"/>
  <c r="H4" i="3"/>
  <c r="E4" i="3"/>
  <c r="S4" i="3" s="1"/>
  <c r="O3" i="3"/>
  <c r="N3" i="3"/>
  <c r="K3" i="3"/>
  <c r="P3" i="3" s="1"/>
  <c r="H3" i="3"/>
  <c r="E3" i="3"/>
  <c r="S3" i="3" s="1"/>
  <c r="T14" i="3" l="1"/>
  <c r="T7" i="3"/>
  <c r="T18" i="3"/>
  <c r="T15" i="3"/>
  <c r="T8" i="3"/>
  <c r="L3" i="3"/>
  <c r="M3" i="3" s="1"/>
  <c r="T3" i="3" s="1"/>
  <c r="L9" i="3"/>
  <c r="M9" i="3" s="1"/>
  <c r="T9" i="3" s="1"/>
  <c r="L16" i="3"/>
  <c r="M16" i="3" s="1"/>
  <c r="T16" i="3" s="1"/>
  <c r="Q7" i="1" l="1"/>
  <c r="R7" i="1"/>
  <c r="R14" i="1"/>
  <c r="Q14" i="1"/>
  <c r="R10" i="1"/>
  <c r="R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Q11" i="1"/>
  <c r="B11" i="1"/>
  <c r="C10" i="1"/>
  <c r="D10" i="1"/>
  <c r="E10" i="1"/>
  <c r="F10" i="1"/>
  <c r="F13" i="1" s="1"/>
  <c r="F18" i="1" s="1"/>
  <c r="G10" i="1"/>
  <c r="G13" i="1" s="1"/>
  <c r="G18" i="1" s="1"/>
  <c r="H10" i="1"/>
  <c r="I10" i="1"/>
  <c r="J10" i="1"/>
  <c r="K10" i="1"/>
  <c r="L10" i="1"/>
  <c r="M10" i="1"/>
  <c r="N10" i="1"/>
  <c r="O10" i="1"/>
  <c r="O13" i="1" s="1"/>
  <c r="O18" i="1" s="1"/>
  <c r="Q10" i="1"/>
  <c r="D16" i="1"/>
  <c r="C9" i="1"/>
  <c r="D9" i="1"/>
  <c r="E9" i="1"/>
  <c r="F9" i="1"/>
  <c r="G9" i="1"/>
  <c r="H9" i="1"/>
  <c r="H13" i="1" s="1"/>
  <c r="H18" i="1" s="1"/>
  <c r="I9" i="1"/>
  <c r="I13" i="1" s="1"/>
  <c r="I18" i="1" s="1"/>
  <c r="J9" i="1"/>
  <c r="K9" i="1"/>
  <c r="L9" i="1"/>
  <c r="M9" i="1"/>
  <c r="M13" i="1" s="1"/>
  <c r="M18" i="1" s="1"/>
  <c r="N9" i="1"/>
  <c r="N13" i="1" s="1"/>
  <c r="N18" i="1" s="1"/>
  <c r="O9" i="1"/>
  <c r="R8" i="1"/>
  <c r="R9" i="1" s="1"/>
  <c r="R13" i="1" s="1"/>
  <c r="Q8" i="1"/>
  <c r="Q9" i="1" s="1"/>
  <c r="C15" i="1"/>
  <c r="C16" i="1" s="1"/>
  <c r="D15" i="1"/>
  <c r="E15" i="1"/>
  <c r="E16" i="1" s="1"/>
  <c r="F15" i="1"/>
  <c r="F16" i="1" s="1"/>
  <c r="G15" i="1"/>
  <c r="G16" i="1" s="1"/>
  <c r="H15" i="1"/>
  <c r="H16" i="1" s="1"/>
  <c r="I15" i="1"/>
  <c r="I16" i="1" s="1"/>
  <c r="J15" i="1"/>
  <c r="J16" i="1" s="1"/>
  <c r="K15" i="1"/>
  <c r="K16" i="1" s="1"/>
  <c r="L15" i="1"/>
  <c r="M15" i="1"/>
  <c r="N15" i="1"/>
  <c r="O15" i="1"/>
  <c r="O16" i="1" s="1"/>
  <c r="B15" i="1"/>
  <c r="D20" i="1"/>
  <c r="D21" i="1" s="1"/>
  <c r="D22" i="1" s="1"/>
  <c r="B9" i="2"/>
  <c r="B7" i="2"/>
  <c r="B5" i="2"/>
  <c r="B11" i="2" s="1"/>
  <c r="R24" i="1" l="1"/>
  <c r="K13" i="1"/>
  <c r="K18" i="1" s="1"/>
  <c r="N16" i="1"/>
  <c r="E13" i="1"/>
  <c r="E18" i="1" s="1"/>
  <c r="M16" i="1"/>
  <c r="R20" i="1"/>
  <c r="R21" i="1" s="1"/>
  <c r="R25" i="1" s="1"/>
  <c r="R27" i="1" s="1"/>
  <c r="R18" i="1"/>
  <c r="L16" i="1"/>
  <c r="R16" i="1"/>
  <c r="C13" i="1"/>
  <c r="C18" i="1" s="1"/>
  <c r="R22" i="1"/>
  <c r="R26" i="1"/>
  <c r="Q24" i="1"/>
  <c r="Q20" i="1"/>
  <c r="Q21" i="1" s="1"/>
  <c r="Q26" i="1" s="1"/>
  <c r="Q13" i="1"/>
  <c r="Q18" i="1" s="1"/>
  <c r="Q16" i="1"/>
  <c r="L13" i="1"/>
  <c r="L18" i="1" s="1"/>
  <c r="D13" i="1"/>
  <c r="D18" i="1" s="1"/>
  <c r="J13" i="1"/>
  <c r="J18" i="1" s="1"/>
  <c r="H20" i="1"/>
  <c r="H21" i="1" s="1"/>
  <c r="H22" i="1" s="1"/>
  <c r="D24" i="1"/>
  <c r="H24" i="1"/>
  <c r="B8" i="2"/>
  <c r="B10" i="2" s="1"/>
  <c r="Q25" i="1" l="1"/>
  <c r="Q27" i="1" s="1"/>
  <c r="Q22" i="1"/>
  <c r="H17" i="1"/>
  <c r="D17" i="1"/>
  <c r="D26" i="1"/>
  <c r="D25" i="1"/>
  <c r="D27" i="1" s="1"/>
  <c r="H26" i="1"/>
  <c r="H25" i="1"/>
  <c r="H27" i="1" s="1"/>
  <c r="B10" i="1"/>
  <c r="B9" i="1"/>
  <c r="F20" i="1"/>
  <c r="F21" i="1" s="1"/>
  <c r="F22" i="1" s="1"/>
  <c r="G20" i="1"/>
  <c r="G21" i="1" s="1"/>
  <c r="G22" i="1" s="1"/>
  <c r="I20" i="1"/>
  <c r="I21" i="1" s="1"/>
  <c r="I22" i="1" s="1"/>
  <c r="J20" i="1"/>
  <c r="J21" i="1" s="1"/>
  <c r="J22" i="1" s="1"/>
  <c r="K20" i="1"/>
  <c r="K21" i="1" s="1"/>
  <c r="K22" i="1" s="1"/>
  <c r="L20" i="1"/>
  <c r="L21" i="1" s="1"/>
  <c r="L22" i="1" s="1"/>
  <c r="M20" i="1"/>
  <c r="M21" i="1" s="1"/>
  <c r="M22" i="1" s="1"/>
  <c r="N20" i="1"/>
  <c r="N21" i="1" s="1"/>
  <c r="N22" i="1" s="1"/>
  <c r="O20" i="1"/>
  <c r="O21" i="1" s="1"/>
  <c r="O22" i="1" s="1"/>
  <c r="C20" i="1"/>
  <c r="C21" i="1" s="1"/>
  <c r="C22" i="1" s="1"/>
  <c r="O24" i="1"/>
  <c r="B24" i="1" l="1"/>
  <c r="B20" i="1"/>
  <c r="B21" i="1" s="1"/>
  <c r="E24" i="1"/>
  <c r="E20" i="1"/>
  <c r="E21" i="1" s="1"/>
  <c r="E22" i="1" s="1"/>
  <c r="F17" i="1"/>
  <c r="B13" i="1"/>
  <c r="B17" i="1" s="1"/>
  <c r="O25" i="1"/>
  <c r="O27" i="1" s="1"/>
  <c r="O26" i="1"/>
  <c r="B22" i="1" l="1"/>
  <c r="B25" i="1"/>
  <c r="B27" i="1" s="1"/>
  <c r="E26" i="1"/>
  <c r="E17" i="1"/>
  <c r="C17" i="1"/>
  <c r="N17" i="1"/>
  <c r="J17" i="1"/>
  <c r="K17" i="1"/>
  <c r="M17" i="1"/>
  <c r="O17" i="1"/>
  <c r="I17" i="1"/>
  <c r="G17" i="1"/>
  <c r="L17" i="1"/>
  <c r="E25" i="1"/>
  <c r="E27" i="1" s="1"/>
  <c r="B26" i="1"/>
  <c r="C24" i="1"/>
  <c r="F24" i="1" l="1"/>
  <c r="G24" i="1"/>
  <c r="I24" i="1"/>
  <c r="J24" i="1"/>
  <c r="K24" i="1"/>
  <c r="L24" i="1"/>
  <c r="M24" i="1"/>
  <c r="N24" i="1"/>
  <c r="C25" i="1" l="1"/>
  <c r="C27" i="1" s="1"/>
  <c r="I25" i="1"/>
  <c r="I27" i="1" s="1"/>
  <c r="I26" i="1"/>
  <c r="N26" i="1"/>
  <c r="N25" i="1"/>
  <c r="N27" i="1" s="1"/>
  <c r="J26" i="1"/>
  <c r="J25" i="1"/>
  <c r="J27" i="1" s="1"/>
  <c r="M25" i="1"/>
  <c r="M27" i="1" s="1"/>
  <c r="M26" i="1"/>
  <c r="C26" i="1"/>
  <c r="K25" i="1"/>
  <c r="K27" i="1" s="1"/>
  <c r="K26" i="1"/>
  <c r="F25" i="1"/>
  <c r="F27" i="1" s="1"/>
  <c r="F26" i="1"/>
  <c r="L26" i="1"/>
  <c r="L25" i="1"/>
  <c r="L27" i="1" s="1"/>
  <c r="G26" i="1"/>
  <c r="G25" i="1"/>
  <c r="G27" i="1" s="1"/>
  <c r="B18" i="1" l="1"/>
  <c r="B16" i="1"/>
</calcChain>
</file>

<file path=xl/sharedStrings.xml><?xml version="1.0" encoding="utf-8"?>
<sst xmlns="http://schemas.openxmlformats.org/spreadsheetml/2006/main" count="131" uniqueCount="73">
  <si>
    <t>Peso por celda (g)</t>
  </si>
  <si>
    <t>Peso por Ah (g/celda*Ah)</t>
  </si>
  <si>
    <t>Pesos de baterías</t>
  </si>
  <si>
    <t>W10 minutos 6C</t>
  </si>
  <si>
    <t>W20 minutos 3C</t>
  </si>
  <si>
    <t>Capacidad de descarga</t>
  </si>
  <si>
    <t>Máximo poder de descarga A</t>
  </si>
  <si>
    <t>W15minutos 4C</t>
  </si>
  <si>
    <t>Capacidad Real mAh 88%</t>
  </si>
  <si>
    <t>Wh Real</t>
  </si>
  <si>
    <t>Wh por Peso (Wh/g)</t>
  </si>
  <si>
    <t>Wh por Peso (Wh/Kg)</t>
  </si>
  <si>
    <t>Wh Reales por Peso (Wh/Kg)</t>
  </si>
  <si>
    <t>Wh Teóricos</t>
  </si>
  <si>
    <t>No de baterías</t>
  </si>
  <si>
    <t>Capacidad teórica  1 bat mAh</t>
  </si>
  <si>
    <t>Capacidad teórica total mAh</t>
  </si>
  <si>
    <t>Peso total de batería</t>
  </si>
  <si>
    <t>Nº de Baterías</t>
  </si>
  <si>
    <t>Ud</t>
  </si>
  <si>
    <t>Capacidad de cada batería</t>
  </si>
  <si>
    <t>mAh</t>
  </si>
  <si>
    <t>Nº de celdas por batería</t>
  </si>
  <si>
    <t>Tensión de cada batería</t>
  </si>
  <si>
    <t>V</t>
  </si>
  <si>
    <t xml:space="preserve">Tipo de montaje Paralelo (1) Serie (2) </t>
  </si>
  <si>
    <t>Capacidad total A</t>
  </si>
  <si>
    <t>Capacidad total Potencia acumulada</t>
  </si>
  <si>
    <t>Wh</t>
  </si>
  <si>
    <t>Peso por W almacenado</t>
  </si>
  <si>
    <t>g/Wh</t>
  </si>
  <si>
    <t>Peso de la batería</t>
  </si>
  <si>
    <t>g</t>
  </si>
  <si>
    <t>Voltaje total</t>
  </si>
  <si>
    <t>Tatto</t>
  </si>
  <si>
    <t>Zippy</t>
  </si>
  <si>
    <t>Turnigy</t>
  </si>
  <si>
    <t>Voltaje Nominal 3.7</t>
  </si>
  <si>
    <t>Voltaje Max 4.2</t>
  </si>
  <si>
    <t>Li-Ion</t>
  </si>
  <si>
    <t>Grupos en Paralelo</t>
  </si>
  <si>
    <t>Capacidad por celda</t>
  </si>
  <si>
    <t>Li-PO</t>
  </si>
  <si>
    <t>Celdas en serie</t>
  </si>
  <si>
    <t>Celdas totales</t>
  </si>
  <si>
    <t>Baterías de Litio</t>
  </si>
  <si>
    <t>LiION</t>
  </si>
  <si>
    <t>Serie</t>
  </si>
  <si>
    <t>Paralelo</t>
  </si>
  <si>
    <t>Nº celdas</t>
  </si>
  <si>
    <t>Volt. celda</t>
  </si>
  <si>
    <t>Volt. Max Celda</t>
  </si>
  <si>
    <t>Volt. Total V</t>
  </si>
  <si>
    <t>Desc. max Celda A</t>
  </si>
  <si>
    <t>Cap. DATO celda mAh</t>
  </si>
  <si>
    <t>Cap. Real celda mAh</t>
  </si>
  <si>
    <t>Cap. Total mAh</t>
  </si>
  <si>
    <t>Cap TOTAL Wh</t>
  </si>
  <si>
    <t>Desc. Max TOTAL A</t>
  </si>
  <si>
    <t>Desc. Celda Continua C</t>
  </si>
  <si>
    <t>Desc. Total Continua A</t>
  </si>
  <si>
    <t>Peso Celda</t>
  </si>
  <si>
    <t>Peso conectores</t>
  </si>
  <si>
    <t>PESO TOTAL</t>
  </si>
  <si>
    <t>Densidad Energética Wh/Kg</t>
  </si>
  <si>
    <t xml:space="preserve"> Sony</t>
  </si>
  <si>
    <t>Samsung</t>
  </si>
  <si>
    <t>Sanyo</t>
  </si>
  <si>
    <t>LiFE A123</t>
  </si>
  <si>
    <t>Lithium Werks</t>
  </si>
  <si>
    <t>Desc. Celda Continua C =1/2CMax</t>
  </si>
  <si>
    <t xml:space="preserve">LiPO </t>
  </si>
  <si>
    <r>
      <t xml:space="preserve">Como valor medio, las baterías de LiPo tienen una densidad energética de </t>
    </r>
    <r>
      <rPr>
        <b/>
        <sz val="18"/>
        <color theme="1"/>
        <rFont val="Calibri"/>
        <family val="2"/>
        <scheme val="minor"/>
      </rPr>
      <t>165Wh/Kg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</si>
</sst>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 ;[Red]\-0.00\ "/>
    <numFmt numFmtId="165" formatCode="0.000"/>
    <numFmt numFmtId="166" formatCode="#,##0.00_ ;[Red]\-#,##0.00\ "/>
  </numFmts>
  <fonts count="8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2" borderId="0" xfId="0" applyFill="1"/>
    <xf numFmtId="0" fontId="1" fillId="0" borderId="0" xfId="0" applyFont="1"/>
    <xf numFmtId="0" fontId="0" fillId="3" borderId="0" xfId="0" applyFill="1"/>
    <xf numFmtId="2" fontId="2" fillId="3" borderId="0" xfId="0" applyNumberFormat="1" applyFont="1" applyFill="1"/>
    <xf numFmtId="0" fontId="2" fillId="0" borderId="0" xfId="0" applyFont="1"/>
    <xf numFmtId="0" fontId="2" fillId="2" borderId="0" xfId="0" applyFont="1" applyFill="1"/>
    <xf numFmtId="0" fontId="0" fillId="0" borderId="1" xfId="0" applyBorder="1"/>
    <xf numFmtId="2" fontId="0" fillId="0" borderId="2" xfId="0" applyNumberFormat="1" applyBorder="1"/>
    <xf numFmtId="165" fontId="0" fillId="0" borderId="0" xfId="0" applyNumberFormat="1"/>
    <xf numFmtId="0" fontId="0" fillId="4" borderId="0" xfId="0" applyFill="1"/>
    <xf numFmtId="2" fontId="0" fillId="4" borderId="0" xfId="0" applyNumberFormat="1" applyFill="1"/>
    <xf numFmtId="2" fontId="0" fillId="5" borderId="0" xfId="0" applyNumberFormat="1" applyFill="1"/>
    <xf numFmtId="2" fontId="2" fillId="0" borderId="0" xfId="0" applyNumberFormat="1" applyFont="1"/>
    <xf numFmtId="2" fontId="2" fillId="5" borderId="0" xfId="0" applyNumberFormat="1" applyFont="1" applyFill="1"/>
    <xf numFmtId="0" fontId="3" fillId="0" borderId="0" xfId="0" applyFont="1"/>
    <xf numFmtId="0" fontId="2" fillId="3" borderId="0" xfId="0" applyFont="1" applyFill="1"/>
    <xf numFmtId="0" fontId="5" fillId="0" borderId="0" xfId="0" applyFont="1" applyAlignment="1">
      <alignment horizontal="left" vertical="top"/>
    </xf>
    <xf numFmtId="0" fontId="6" fillId="0" borderId="0" xfId="0" applyFont="1"/>
    <xf numFmtId="0" fontId="5" fillId="0" borderId="0" xfId="0" applyFo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5" fillId="4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6" borderId="0" xfId="0" applyFont="1" applyFill="1" applyAlignment="1">
      <alignment horizontal="center"/>
    </xf>
    <xf numFmtId="166" fontId="7" fillId="6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2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2"/>
  <sheetViews>
    <sheetView tabSelected="1" topLeftCell="B1" zoomScale="85" zoomScaleNormal="85" workbookViewId="0">
      <selection activeCell="B33" sqref="B33"/>
    </sheetView>
  </sheetViews>
  <sheetFormatPr baseColWidth="10" defaultColWidth="11.21875" defaultRowHeight="14.4" outlineLevelCol="1" x14ac:dyDescent="0.3"/>
  <cols>
    <col min="1" max="1" width="32.88671875" customWidth="1"/>
    <col min="2" max="2" width="11.6640625" customWidth="1"/>
    <col min="3" max="15" width="11.6640625" customWidth="1" outlineLevel="1"/>
    <col min="16" max="16" width="25" customWidth="1"/>
  </cols>
  <sheetData>
    <row r="1" spans="1:18" ht="18.75" customHeight="1" x14ac:dyDescent="0.45">
      <c r="A1" s="4" t="s">
        <v>2</v>
      </c>
    </row>
    <row r="2" spans="1:18" ht="18.3" x14ac:dyDescent="0.4">
      <c r="B2" s="17" t="s">
        <v>42</v>
      </c>
      <c r="D2" t="s">
        <v>35</v>
      </c>
      <c r="E2" t="s">
        <v>36</v>
      </c>
      <c r="F2" s="2"/>
      <c r="G2" s="2"/>
      <c r="H2" s="2" t="s">
        <v>34</v>
      </c>
      <c r="I2" s="2" t="s">
        <v>34</v>
      </c>
      <c r="J2" s="2"/>
      <c r="K2" s="2" t="s">
        <v>34</v>
      </c>
      <c r="Q2" s="17" t="s">
        <v>39</v>
      </c>
    </row>
    <row r="3" spans="1:18" x14ac:dyDescent="0.3">
      <c r="A3" t="s">
        <v>14</v>
      </c>
      <c r="B3" s="7">
        <v>1</v>
      </c>
      <c r="C3" s="7">
        <v>1</v>
      </c>
      <c r="D3" s="7">
        <v>1</v>
      </c>
      <c r="E3" s="7">
        <v>1</v>
      </c>
      <c r="F3" s="7">
        <v>1</v>
      </c>
      <c r="G3" s="7">
        <v>1</v>
      </c>
      <c r="H3" s="8">
        <v>1</v>
      </c>
      <c r="I3" s="8">
        <v>1</v>
      </c>
      <c r="J3" s="7">
        <v>1</v>
      </c>
      <c r="K3" s="8">
        <v>1</v>
      </c>
      <c r="L3" s="7">
        <v>1</v>
      </c>
      <c r="M3" s="8">
        <v>1</v>
      </c>
      <c r="N3" s="7">
        <v>1</v>
      </c>
      <c r="O3" s="7">
        <v>2</v>
      </c>
      <c r="P3" t="s">
        <v>14</v>
      </c>
      <c r="Q3" s="7">
        <v>1</v>
      </c>
      <c r="R3" s="7">
        <v>2</v>
      </c>
    </row>
    <row r="4" spans="1:18" x14ac:dyDescent="0.3">
      <c r="A4" t="s">
        <v>41</v>
      </c>
      <c r="B4" s="7"/>
      <c r="C4" s="7"/>
      <c r="D4" s="7"/>
      <c r="E4" s="7"/>
      <c r="F4" s="7"/>
      <c r="G4" s="7"/>
      <c r="H4" s="8"/>
      <c r="I4" s="8"/>
      <c r="J4" s="7"/>
      <c r="K4" s="8"/>
      <c r="L4" s="7"/>
      <c r="M4" s="8"/>
      <c r="N4" s="7"/>
      <c r="O4" s="7"/>
      <c r="P4" t="s">
        <v>41</v>
      </c>
      <c r="Q4" s="18">
        <v>2850</v>
      </c>
      <c r="R4" s="18">
        <v>2850</v>
      </c>
    </row>
    <row r="5" spans="1:18" x14ac:dyDescent="0.3">
      <c r="A5" t="s">
        <v>43</v>
      </c>
      <c r="B5" s="7">
        <v>3</v>
      </c>
      <c r="C5" s="7">
        <v>3</v>
      </c>
      <c r="D5" s="7">
        <v>4</v>
      </c>
      <c r="E5" s="7">
        <v>4</v>
      </c>
      <c r="F5" s="7">
        <v>4</v>
      </c>
      <c r="G5" s="7">
        <v>4</v>
      </c>
      <c r="H5" s="8">
        <v>6</v>
      </c>
      <c r="I5" s="8">
        <v>6</v>
      </c>
      <c r="J5" s="7">
        <v>6</v>
      </c>
      <c r="K5" s="8">
        <v>6</v>
      </c>
      <c r="L5" s="7">
        <v>6</v>
      </c>
      <c r="M5" s="8">
        <v>6</v>
      </c>
      <c r="N5" s="7">
        <v>6</v>
      </c>
      <c r="O5" s="7">
        <v>6</v>
      </c>
      <c r="P5" t="s">
        <v>43</v>
      </c>
      <c r="Q5" s="7">
        <v>6</v>
      </c>
      <c r="R5" s="7">
        <v>6</v>
      </c>
    </row>
    <row r="6" spans="1:18" x14ac:dyDescent="0.3">
      <c r="A6" t="s">
        <v>40</v>
      </c>
      <c r="B6" s="7"/>
      <c r="C6" s="7"/>
      <c r="D6" s="7"/>
      <c r="E6" s="7"/>
      <c r="F6" s="7"/>
      <c r="G6" s="7"/>
      <c r="H6" s="8"/>
      <c r="I6" s="8"/>
      <c r="J6" s="7"/>
      <c r="K6" s="8"/>
      <c r="L6" s="7"/>
      <c r="M6" s="8"/>
      <c r="N6" s="7"/>
      <c r="O6" s="7"/>
      <c r="P6" t="s">
        <v>40</v>
      </c>
      <c r="Q6" s="7">
        <v>1</v>
      </c>
      <c r="R6" s="7">
        <v>2</v>
      </c>
    </row>
    <row r="7" spans="1:18" x14ac:dyDescent="0.3">
      <c r="A7" t="s">
        <v>44</v>
      </c>
      <c r="B7" s="7"/>
      <c r="C7" s="7"/>
      <c r="D7" s="7"/>
      <c r="E7" s="7"/>
      <c r="F7" s="7"/>
      <c r="G7" s="7"/>
      <c r="H7" s="8"/>
      <c r="I7" s="8"/>
      <c r="J7" s="7"/>
      <c r="K7" s="8"/>
      <c r="L7" s="7"/>
      <c r="M7" s="8"/>
      <c r="N7" s="7"/>
      <c r="O7" s="7"/>
      <c r="Q7" s="7">
        <f>Q3*Q5*Q6</f>
        <v>6</v>
      </c>
      <c r="R7" s="7">
        <f>R3*R5*R6</f>
        <v>24</v>
      </c>
    </row>
    <row r="8" spans="1:18" x14ac:dyDescent="0.3">
      <c r="A8" t="s">
        <v>15</v>
      </c>
      <c r="B8">
        <v>2200</v>
      </c>
      <c r="C8">
        <v>5200</v>
      </c>
      <c r="D8">
        <v>5000</v>
      </c>
      <c r="E8">
        <v>5000</v>
      </c>
      <c r="F8">
        <v>6600</v>
      </c>
      <c r="G8">
        <v>8000</v>
      </c>
      <c r="H8" s="3">
        <v>9000</v>
      </c>
      <c r="I8" s="3">
        <v>10000</v>
      </c>
      <c r="J8">
        <v>12000</v>
      </c>
      <c r="K8" s="3">
        <v>12000</v>
      </c>
      <c r="L8">
        <v>16000</v>
      </c>
      <c r="M8" s="3">
        <v>16000</v>
      </c>
      <c r="N8">
        <v>20000</v>
      </c>
      <c r="O8">
        <v>21000</v>
      </c>
      <c r="P8" t="s">
        <v>15</v>
      </c>
      <c r="Q8">
        <f>Q4*Q6</f>
        <v>2850</v>
      </c>
      <c r="R8">
        <f>R4*R6</f>
        <v>5700</v>
      </c>
    </row>
    <row r="9" spans="1:18" x14ac:dyDescent="0.3">
      <c r="A9" t="s">
        <v>16</v>
      </c>
      <c r="B9" s="7">
        <f>B3*B8</f>
        <v>2200</v>
      </c>
      <c r="C9" s="7">
        <f t="shared" ref="C9:R9" si="0">C3*C8</f>
        <v>5200</v>
      </c>
      <c r="D9" s="7">
        <f t="shared" si="0"/>
        <v>5000</v>
      </c>
      <c r="E9" s="7">
        <f t="shared" si="0"/>
        <v>5000</v>
      </c>
      <c r="F9" s="7">
        <f t="shared" si="0"/>
        <v>6600</v>
      </c>
      <c r="G9" s="7">
        <f t="shared" si="0"/>
        <v>8000</v>
      </c>
      <c r="H9" s="7">
        <f t="shared" si="0"/>
        <v>9000</v>
      </c>
      <c r="I9" s="7">
        <f t="shared" si="0"/>
        <v>10000</v>
      </c>
      <c r="J9" s="7">
        <f t="shared" si="0"/>
        <v>12000</v>
      </c>
      <c r="K9" s="7">
        <f t="shared" si="0"/>
        <v>12000</v>
      </c>
      <c r="L9" s="7">
        <f t="shared" si="0"/>
        <v>16000</v>
      </c>
      <c r="M9" s="7">
        <f t="shared" si="0"/>
        <v>16000</v>
      </c>
      <c r="N9" s="7">
        <f t="shared" si="0"/>
        <v>20000</v>
      </c>
      <c r="O9" s="7">
        <f t="shared" si="0"/>
        <v>42000</v>
      </c>
      <c r="P9" t="s">
        <v>16</v>
      </c>
      <c r="Q9" s="7">
        <f t="shared" si="0"/>
        <v>2850</v>
      </c>
      <c r="R9" s="7">
        <f t="shared" si="0"/>
        <v>11400</v>
      </c>
    </row>
    <row r="10" spans="1:18" x14ac:dyDescent="0.3">
      <c r="A10" t="s">
        <v>37</v>
      </c>
      <c r="B10">
        <f t="shared" ref="B10:O10" si="1">B5*3.7</f>
        <v>11.100000000000001</v>
      </c>
      <c r="C10">
        <f t="shared" si="1"/>
        <v>11.100000000000001</v>
      </c>
      <c r="D10">
        <f t="shared" si="1"/>
        <v>14.8</v>
      </c>
      <c r="E10">
        <f t="shared" si="1"/>
        <v>14.8</v>
      </c>
      <c r="F10">
        <f t="shared" si="1"/>
        <v>14.8</v>
      </c>
      <c r="G10">
        <f t="shared" si="1"/>
        <v>14.8</v>
      </c>
      <c r="H10">
        <f t="shared" si="1"/>
        <v>22.200000000000003</v>
      </c>
      <c r="I10">
        <f t="shared" si="1"/>
        <v>22.200000000000003</v>
      </c>
      <c r="J10">
        <f t="shared" si="1"/>
        <v>22.200000000000003</v>
      </c>
      <c r="K10">
        <f t="shared" si="1"/>
        <v>22.200000000000003</v>
      </c>
      <c r="L10">
        <f t="shared" si="1"/>
        <v>22.200000000000003</v>
      </c>
      <c r="M10">
        <f t="shared" si="1"/>
        <v>22.200000000000003</v>
      </c>
      <c r="N10">
        <f t="shared" si="1"/>
        <v>22.200000000000003</v>
      </c>
      <c r="O10">
        <f t="shared" si="1"/>
        <v>22.200000000000003</v>
      </c>
      <c r="P10" t="s">
        <v>37</v>
      </c>
      <c r="Q10">
        <f>Q5*3.7</f>
        <v>22.200000000000003</v>
      </c>
      <c r="R10">
        <f>R5*3.7</f>
        <v>22.200000000000003</v>
      </c>
    </row>
    <row r="11" spans="1:18" x14ac:dyDescent="0.3">
      <c r="A11" t="s">
        <v>38</v>
      </c>
      <c r="B11">
        <f>B5*4.2</f>
        <v>12.600000000000001</v>
      </c>
      <c r="C11">
        <f t="shared" ref="C11:O11" si="2">C5*4.2</f>
        <v>12.600000000000001</v>
      </c>
      <c r="D11">
        <f t="shared" si="2"/>
        <v>16.8</v>
      </c>
      <c r="E11">
        <f t="shared" si="2"/>
        <v>16.8</v>
      </c>
      <c r="F11">
        <f t="shared" si="2"/>
        <v>16.8</v>
      </c>
      <c r="G11">
        <f t="shared" si="2"/>
        <v>16.8</v>
      </c>
      <c r="H11">
        <f t="shared" si="2"/>
        <v>25.200000000000003</v>
      </c>
      <c r="I11">
        <f t="shared" si="2"/>
        <v>25.200000000000003</v>
      </c>
      <c r="J11">
        <f t="shared" si="2"/>
        <v>25.200000000000003</v>
      </c>
      <c r="K11">
        <f t="shared" si="2"/>
        <v>25.200000000000003</v>
      </c>
      <c r="L11">
        <f t="shared" si="2"/>
        <v>25.200000000000003</v>
      </c>
      <c r="M11">
        <f t="shared" si="2"/>
        <v>25.200000000000003</v>
      </c>
      <c r="N11">
        <f t="shared" si="2"/>
        <v>25.200000000000003</v>
      </c>
      <c r="O11">
        <f t="shared" si="2"/>
        <v>25.200000000000003</v>
      </c>
      <c r="P11" t="s">
        <v>38</v>
      </c>
      <c r="Q11">
        <f>Q5*4.2</f>
        <v>25.200000000000003</v>
      </c>
      <c r="R11">
        <f>R5*4.2</f>
        <v>25.200000000000003</v>
      </c>
    </row>
    <row r="12" spans="1:18" ht="15" thickBot="1" x14ac:dyDescent="0.35">
      <c r="A12" t="s">
        <v>5</v>
      </c>
      <c r="B12">
        <v>15</v>
      </c>
      <c r="C12">
        <v>15</v>
      </c>
      <c r="D12">
        <v>20</v>
      </c>
      <c r="E12">
        <v>15</v>
      </c>
      <c r="F12">
        <v>20</v>
      </c>
      <c r="G12">
        <v>20</v>
      </c>
      <c r="H12" s="3">
        <v>10</v>
      </c>
      <c r="I12" s="3">
        <v>10</v>
      </c>
      <c r="J12">
        <v>35</v>
      </c>
      <c r="K12" s="3">
        <v>10</v>
      </c>
      <c r="L12">
        <v>25</v>
      </c>
      <c r="M12" s="3">
        <v>10</v>
      </c>
      <c r="N12">
        <v>20</v>
      </c>
      <c r="O12">
        <v>20</v>
      </c>
      <c r="P12" t="s">
        <v>5</v>
      </c>
      <c r="Q12">
        <v>8</v>
      </c>
      <c r="R12">
        <v>9</v>
      </c>
    </row>
    <row r="13" spans="1:18" ht="15" thickBot="1" x14ac:dyDescent="0.35">
      <c r="A13" s="9" t="s">
        <v>13</v>
      </c>
      <c r="B13" s="10">
        <f>(B9/1000)*(B10)</f>
        <v>24.420000000000005</v>
      </c>
      <c r="C13" s="10">
        <f t="shared" ref="C13:O13" si="3">(C9/1000)*(C10)</f>
        <v>57.720000000000006</v>
      </c>
      <c r="D13" s="10">
        <f t="shared" si="3"/>
        <v>74</v>
      </c>
      <c r="E13" s="10">
        <f t="shared" si="3"/>
        <v>74</v>
      </c>
      <c r="F13" s="10">
        <f t="shared" si="3"/>
        <v>97.679999999999993</v>
      </c>
      <c r="G13" s="10">
        <f t="shared" si="3"/>
        <v>118.4</v>
      </c>
      <c r="H13" s="10">
        <f t="shared" si="3"/>
        <v>199.8</v>
      </c>
      <c r="I13" s="10">
        <f t="shared" si="3"/>
        <v>222.00000000000003</v>
      </c>
      <c r="J13" s="10">
        <f t="shared" si="3"/>
        <v>266.40000000000003</v>
      </c>
      <c r="K13" s="10">
        <f t="shared" si="3"/>
        <v>266.40000000000003</v>
      </c>
      <c r="L13" s="10">
        <f t="shared" si="3"/>
        <v>355.20000000000005</v>
      </c>
      <c r="M13" s="10">
        <f t="shared" si="3"/>
        <v>355.20000000000005</v>
      </c>
      <c r="N13" s="10">
        <f t="shared" si="3"/>
        <v>444.00000000000006</v>
      </c>
      <c r="O13" s="10">
        <f t="shared" si="3"/>
        <v>932.40000000000009</v>
      </c>
      <c r="P13" s="9" t="s">
        <v>13</v>
      </c>
      <c r="Q13" s="10">
        <f>(Q9/1000)*(Q10)</f>
        <v>63.27000000000001</v>
      </c>
      <c r="R13" s="10">
        <f>(R9/1000)*(R10)</f>
        <v>253.08000000000004</v>
      </c>
    </row>
    <row r="14" spans="1:18" x14ac:dyDescent="0.3">
      <c r="A14" s="5" t="s">
        <v>17</v>
      </c>
      <c r="B14" s="6">
        <v>188</v>
      </c>
      <c r="C14" s="6">
        <v>450</v>
      </c>
      <c r="D14" s="16">
        <v>440</v>
      </c>
      <c r="E14" s="6">
        <v>540</v>
      </c>
      <c r="F14" s="6">
        <v>570</v>
      </c>
      <c r="G14" s="6">
        <v>960</v>
      </c>
      <c r="H14" s="16">
        <v>1200</v>
      </c>
      <c r="I14" s="16">
        <v>1240</v>
      </c>
      <c r="J14" s="6">
        <v>1400</v>
      </c>
      <c r="K14" s="16">
        <v>1540</v>
      </c>
      <c r="L14" s="6">
        <v>1850</v>
      </c>
      <c r="M14" s="6">
        <v>1920</v>
      </c>
      <c r="N14" s="6">
        <v>2440</v>
      </c>
      <c r="O14" s="6">
        <v>5000</v>
      </c>
      <c r="P14" s="5" t="s">
        <v>17</v>
      </c>
      <c r="Q14">
        <f>Q3*Q15*Q5*Q6</f>
        <v>312</v>
      </c>
      <c r="R14">
        <f>R3*R15*R5*R6</f>
        <v>1248</v>
      </c>
    </row>
    <row r="15" spans="1:18" x14ac:dyDescent="0.3">
      <c r="A15" t="s">
        <v>0</v>
      </c>
      <c r="B15" s="1">
        <f t="shared" ref="B15:O15" si="4">B14/B5</f>
        <v>62.666666666666664</v>
      </c>
      <c r="C15" s="1">
        <f t="shared" si="4"/>
        <v>150</v>
      </c>
      <c r="D15" s="1">
        <f t="shared" si="4"/>
        <v>110</v>
      </c>
      <c r="E15" s="1">
        <f t="shared" si="4"/>
        <v>135</v>
      </c>
      <c r="F15" s="1">
        <f t="shared" si="4"/>
        <v>142.5</v>
      </c>
      <c r="G15" s="1">
        <f t="shared" si="4"/>
        <v>240</v>
      </c>
      <c r="H15" s="1">
        <f t="shared" si="4"/>
        <v>200</v>
      </c>
      <c r="I15" s="1">
        <f t="shared" si="4"/>
        <v>206.66666666666666</v>
      </c>
      <c r="J15" s="1">
        <f t="shared" si="4"/>
        <v>233.33333333333334</v>
      </c>
      <c r="K15" s="1">
        <f t="shared" si="4"/>
        <v>256.66666666666669</v>
      </c>
      <c r="L15" s="1">
        <f t="shared" si="4"/>
        <v>308.33333333333331</v>
      </c>
      <c r="M15" s="1">
        <f t="shared" si="4"/>
        <v>320</v>
      </c>
      <c r="N15" s="1">
        <f t="shared" si="4"/>
        <v>406.66666666666669</v>
      </c>
      <c r="O15" s="1">
        <f t="shared" si="4"/>
        <v>833.33333333333337</v>
      </c>
      <c r="P15" t="s">
        <v>0</v>
      </c>
      <c r="Q15" s="18">
        <v>52</v>
      </c>
      <c r="R15" s="18">
        <v>52</v>
      </c>
    </row>
    <row r="16" spans="1:18" x14ac:dyDescent="0.3">
      <c r="A16" t="s">
        <v>1</v>
      </c>
      <c r="B16" s="1">
        <f>B15/B9*1000</f>
        <v>28.484848484848484</v>
      </c>
      <c r="C16" s="1">
        <f t="shared" ref="C16:O16" si="5">C15/C9*1000</f>
        <v>28.846153846153847</v>
      </c>
      <c r="D16" s="1">
        <f t="shared" si="5"/>
        <v>22</v>
      </c>
      <c r="E16" s="1">
        <f t="shared" si="5"/>
        <v>27</v>
      </c>
      <c r="F16" s="1">
        <f t="shared" si="5"/>
        <v>21.59090909090909</v>
      </c>
      <c r="G16" s="1">
        <f t="shared" si="5"/>
        <v>30</v>
      </c>
      <c r="H16" s="1">
        <f t="shared" si="5"/>
        <v>22.222222222222221</v>
      </c>
      <c r="I16" s="1">
        <f t="shared" si="5"/>
        <v>20.666666666666668</v>
      </c>
      <c r="J16" s="1">
        <f t="shared" si="5"/>
        <v>19.444444444444446</v>
      </c>
      <c r="K16" s="1">
        <f t="shared" si="5"/>
        <v>21.388888888888893</v>
      </c>
      <c r="L16" s="1">
        <f t="shared" si="5"/>
        <v>19.270833333333332</v>
      </c>
      <c r="M16" s="1">
        <f t="shared" si="5"/>
        <v>20</v>
      </c>
      <c r="N16" s="1">
        <f t="shared" si="5"/>
        <v>20.333333333333336</v>
      </c>
      <c r="O16" s="1">
        <f t="shared" si="5"/>
        <v>19.841269841269845</v>
      </c>
      <c r="P16" t="s">
        <v>1</v>
      </c>
      <c r="Q16" s="1">
        <f>Q15/Q9*1000</f>
        <v>18.245614035087719</v>
      </c>
      <c r="R16" s="1">
        <f>R15/R9*1000</f>
        <v>4.5614035087719298</v>
      </c>
    </row>
    <row r="17" spans="1:18" x14ac:dyDescent="0.3">
      <c r="A17" t="s">
        <v>10</v>
      </c>
      <c r="B17" s="11">
        <f t="shared" ref="B17:O17" si="6">B13/B14</f>
        <v>0.12989361702127664</v>
      </c>
      <c r="C17" s="11">
        <f t="shared" si="6"/>
        <v>0.12826666666666667</v>
      </c>
      <c r="D17" s="11">
        <f t="shared" si="6"/>
        <v>0.16818181818181818</v>
      </c>
      <c r="E17" s="11">
        <f t="shared" si="6"/>
        <v>0.13703703703703704</v>
      </c>
      <c r="F17" s="11">
        <f t="shared" si="6"/>
        <v>0.17136842105263156</v>
      </c>
      <c r="G17" s="11">
        <f t="shared" si="6"/>
        <v>0.12333333333333334</v>
      </c>
      <c r="H17" s="11">
        <f t="shared" si="6"/>
        <v>0.16650000000000001</v>
      </c>
      <c r="I17" s="11">
        <f t="shared" si="6"/>
        <v>0.17903225806451614</v>
      </c>
      <c r="J17" s="11">
        <f t="shared" si="6"/>
        <v>0.19028571428571431</v>
      </c>
      <c r="K17" s="11">
        <f t="shared" si="6"/>
        <v>0.17298701298701302</v>
      </c>
      <c r="L17" s="11">
        <f t="shared" si="6"/>
        <v>0.19200000000000003</v>
      </c>
      <c r="M17" s="11">
        <f t="shared" si="6"/>
        <v>0.18500000000000003</v>
      </c>
      <c r="N17" s="11">
        <f t="shared" si="6"/>
        <v>0.18196721311475411</v>
      </c>
      <c r="O17" s="11">
        <f t="shared" si="6"/>
        <v>0.18648000000000001</v>
      </c>
      <c r="P17" t="s">
        <v>10</v>
      </c>
      <c r="Q17" s="11"/>
      <c r="R17" s="11"/>
    </row>
    <row r="18" spans="1:18" x14ac:dyDescent="0.3">
      <c r="A18" s="5" t="s">
        <v>11</v>
      </c>
      <c r="B18" s="6">
        <f>1000*(B13/B14)</f>
        <v>129.89361702127664</v>
      </c>
      <c r="C18" s="6">
        <f t="shared" ref="C18:O18" si="7">1000*(C13/C14)</f>
        <v>128.26666666666668</v>
      </c>
      <c r="D18" s="6">
        <f t="shared" si="7"/>
        <v>168.18181818181819</v>
      </c>
      <c r="E18" s="6">
        <f t="shared" si="7"/>
        <v>137.03703703703704</v>
      </c>
      <c r="F18" s="6">
        <f t="shared" si="7"/>
        <v>171.36842105263156</v>
      </c>
      <c r="G18" s="6">
        <f t="shared" si="7"/>
        <v>123.33333333333334</v>
      </c>
      <c r="H18" s="6">
        <f t="shared" si="7"/>
        <v>166.5</v>
      </c>
      <c r="I18" s="6">
        <f t="shared" si="7"/>
        <v>179.03225806451613</v>
      </c>
      <c r="J18" s="6">
        <f t="shared" si="7"/>
        <v>190.28571428571431</v>
      </c>
      <c r="K18" s="6">
        <f t="shared" si="7"/>
        <v>172.98701298701303</v>
      </c>
      <c r="L18" s="6">
        <f t="shared" si="7"/>
        <v>192.00000000000003</v>
      </c>
      <c r="M18" s="6">
        <f t="shared" si="7"/>
        <v>185.00000000000003</v>
      </c>
      <c r="N18" s="6">
        <f t="shared" si="7"/>
        <v>181.96721311475412</v>
      </c>
      <c r="O18" s="6">
        <f t="shared" si="7"/>
        <v>186.48000000000002</v>
      </c>
      <c r="P18" s="5" t="s">
        <v>11</v>
      </c>
      <c r="Q18" s="6">
        <f>1000*(Q13/Q14)</f>
        <v>202.78846153846158</v>
      </c>
      <c r="R18" s="6">
        <f>1000*(R13/R14)</f>
        <v>202.78846153846158</v>
      </c>
    </row>
    <row r="20" spans="1:18" x14ac:dyDescent="0.3">
      <c r="A20" t="s">
        <v>8</v>
      </c>
      <c r="B20">
        <f t="shared" ref="B20:O20" si="8">B9*0.88</f>
        <v>1936</v>
      </c>
      <c r="C20">
        <f t="shared" si="8"/>
        <v>4576</v>
      </c>
      <c r="D20">
        <f t="shared" si="8"/>
        <v>4400</v>
      </c>
      <c r="E20">
        <f t="shared" si="8"/>
        <v>4400</v>
      </c>
      <c r="F20">
        <f t="shared" si="8"/>
        <v>5808</v>
      </c>
      <c r="G20">
        <f t="shared" si="8"/>
        <v>7040</v>
      </c>
      <c r="H20">
        <f t="shared" si="8"/>
        <v>7920</v>
      </c>
      <c r="I20">
        <f t="shared" si="8"/>
        <v>8800</v>
      </c>
      <c r="J20">
        <f t="shared" si="8"/>
        <v>10560</v>
      </c>
      <c r="K20">
        <f t="shared" si="8"/>
        <v>10560</v>
      </c>
      <c r="L20">
        <f t="shared" si="8"/>
        <v>14080</v>
      </c>
      <c r="M20">
        <f t="shared" si="8"/>
        <v>14080</v>
      </c>
      <c r="N20">
        <f t="shared" si="8"/>
        <v>17600</v>
      </c>
      <c r="O20">
        <f t="shared" si="8"/>
        <v>36960</v>
      </c>
      <c r="P20" t="s">
        <v>8</v>
      </c>
      <c r="Q20">
        <f>Q9*0.88</f>
        <v>2508</v>
      </c>
      <c r="R20">
        <f>R9*0.88</f>
        <v>10032</v>
      </c>
    </row>
    <row r="21" spans="1:18" x14ac:dyDescent="0.3">
      <c r="A21" t="s">
        <v>9</v>
      </c>
      <c r="B21" s="1">
        <f t="shared" ref="B21:O21" si="9">(B20/1000)*(B5*3.7)</f>
        <v>21.489600000000003</v>
      </c>
      <c r="C21" s="1">
        <f t="shared" si="9"/>
        <v>50.793600000000005</v>
      </c>
      <c r="D21" s="1">
        <f t="shared" si="9"/>
        <v>65.12</v>
      </c>
      <c r="E21" s="1">
        <f t="shared" si="9"/>
        <v>65.12</v>
      </c>
      <c r="F21" s="1">
        <f t="shared" si="9"/>
        <v>85.958399999999997</v>
      </c>
      <c r="G21" s="1">
        <f t="shared" si="9"/>
        <v>104.19200000000001</v>
      </c>
      <c r="H21" s="1">
        <f t="shared" si="9"/>
        <v>175.82400000000001</v>
      </c>
      <c r="I21" s="1">
        <f t="shared" si="9"/>
        <v>195.36000000000004</v>
      </c>
      <c r="J21" s="1">
        <f t="shared" si="9"/>
        <v>234.43200000000004</v>
      </c>
      <c r="K21" s="1">
        <f t="shared" si="9"/>
        <v>234.43200000000004</v>
      </c>
      <c r="L21" s="1">
        <f t="shared" si="9"/>
        <v>312.57600000000002</v>
      </c>
      <c r="M21" s="1">
        <f t="shared" si="9"/>
        <v>312.57600000000002</v>
      </c>
      <c r="N21" s="1">
        <f t="shared" si="9"/>
        <v>390.72000000000008</v>
      </c>
      <c r="O21" s="1">
        <f t="shared" si="9"/>
        <v>820.51200000000017</v>
      </c>
      <c r="P21" t="s">
        <v>9</v>
      </c>
      <c r="Q21" s="1">
        <f>(Q20/1000)*(Q5*3.7)</f>
        <v>55.677600000000005</v>
      </c>
      <c r="R21" s="1">
        <f>(R20/1000)*(R5*3.7)</f>
        <v>222.71040000000002</v>
      </c>
    </row>
    <row r="22" spans="1:18" x14ac:dyDescent="0.3">
      <c r="A22" s="5" t="s">
        <v>12</v>
      </c>
      <c r="B22" s="6">
        <f>1000*(B21/B14)</f>
        <v>114.30638297872342</v>
      </c>
      <c r="C22" s="6">
        <f t="shared" ref="C22:O22" si="10">1000*(C21/C14)</f>
        <v>112.87466666666668</v>
      </c>
      <c r="D22" s="6">
        <f t="shared" si="10"/>
        <v>148.00000000000003</v>
      </c>
      <c r="E22" s="6">
        <f t="shared" si="10"/>
        <v>120.5925925925926</v>
      </c>
      <c r="F22" s="6">
        <f t="shared" si="10"/>
        <v>150.80421052631579</v>
      </c>
      <c r="G22" s="6">
        <f t="shared" si="10"/>
        <v>108.53333333333335</v>
      </c>
      <c r="H22" s="6">
        <f t="shared" si="10"/>
        <v>146.52000000000001</v>
      </c>
      <c r="I22" s="6">
        <f t="shared" si="10"/>
        <v>157.54838709677423</v>
      </c>
      <c r="J22" s="6">
        <f t="shared" si="10"/>
        <v>167.45142857142861</v>
      </c>
      <c r="K22" s="6">
        <f t="shared" si="10"/>
        <v>152.22857142857146</v>
      </c>
      <c r="L22" s="6">
        <f t="shared" si="10"/>
        <v>168.96</v>
      </c>
      <c r="M22" s="6">
        <f t="shared" si="10"/>
        <v>162.80000000000001</v>
      </c>
      <c r="N22" s="6">
        <f t="shared" si="10"/>
        <v>160.13114754098365</v>
      </c>
      <c r="O22" s="6">
        <f t="shared" si="10"/>
        <v>164.10240000000005</v>
      </c>
      <c r="P22" s="5" t="s">
        <v>12</v>
      </c>
      <c r="Q22" s="15">
        <f>1000*(Q21/Q14)</f>
        <v>178.45384615384614</v>
      </c>
      <c r="R22" s="15">
        <f>1000*(R21/R14)</f>
        <v>178.45384615384614</v>
      </c>
    </row>
    <row r="24" spans="1:18" x14ac:dyDescent="0.3">
      <c r="A24" t="s">
        <v>6</v>
      </c>
      <c r="B24">
        <f t="shared" ref="B24:O24" si="11">B9*B12/1000</f>
        <v>33</v>
      </c>
      <c r="C24">
        <f t="shared" si="11"/>
        <v>78</v>
      </c>
      <c r="D24">
        <f t="shared" si="11"/>
        <v>100</v>
      </c>
      <c r="E24">
        <f t="shared" si="11"/>
        <v>75</v>
      </c>
      <c r="F24">
        <f t="shared" si="11"/>
        <v>132</v>
      </c>
      <c r="G24">
        <f t="shared" si="11"/>
        <v>160</v>
      </c>
      <c r="H24">
        <f t="shared" si="11"/>
        <v>90</v>
      </c>
      <c r="I24">
        <f t="shared" si="11"/>
        <v>100</v>
      </c>
      <c r="J24">
        <f t="shared" si="11"/>
        <v>420</v>
      </c>
      <c r="K24">
        <f t="shared" si="11"/>
        <v>120</v>
      </c>
      <c r="L24">
        <f t="shared" si="11"/>
        <v>400</v>
      </c>
      <c r="M24">
        <f t="shared" si="11"/>
        <v>160</v>
      </c>
      <c r="N24">
        <f t="shared" si="11"/>
        <v>400</v>
      </c>
      <c r="O24">
        <f t="shared" si="11"/>
        <v>840</v>
      </c>
      <c r="Q24">
        <f>Q9*Q12/1000</f>
        <v>22.8</v>
      </c>
      <c r="R24">
        <f>R9*R12/1000</f>
        <v>102.6</v>
      </c>
    </row>
    <row r="25" spans="1:18" x14ac:dyDescent="0.3">
      <c r="A25" t="s">
        <v>4</v>
      </c>
      <c r="B25" s="1">
        <f t="shared" ref="B25:O25" si="12">B21*3</f>
        <v>64.468800000000016</v>
      </c>
      <c r="C25" s="1">
        <f t="shared" si="12"/>
        <v>152.38080000000002</v>
      </c>
      <c r="D25" s="1">
        <f t="shared" si="12"/>
        <v>195.36</v>
      </c>
      <c r="E25" s="1">
        <f t="shared" si="12"/>
        <v>195.36</v>
      </c>
      <c r="F25" s="1">
        <f t="shared" si="12"/>
        <v>257.87520000000001</v>
      </c>
      <c r="G25" s="1">
        <f t="shared" si="12"/>
        <v>312.57600000000002</v>
      </c>
      <c r="H25" s="1">
        <f t="shared" si="12"/>
        <v>527.47199999999998</v>
      </c>
      <c r="I25" s="1">
        <f t="shared" si="12"/>
        <v>586.08000000000015</v>
      </c>
      <c r="J25" s="1">
        <f t="shared" si="12"/>
        <v>703.29600000000016</v>
      </c>
      <c r="K25" s="1">
        <f t="shared" si="12"/>
        <v>703.29600000000016</v>
      </c>
      <c r="L25" s="1">
        <f t="shared" si="12"/>
        <v>937.72800000000007</v>
      </c>
      <c r="M25" s="1">
        <f t="shared" si="12"/>
        <v>937.72800000000007</v>
      </c>
      <c r="N25" s="1">
        <f t="shared" si="12"/>
        <v>1172.1600000000003</v>
      </c>
      <c r="O25" s="1">
        <f t="shared" si="12"/>
        <v>2461.5360000000005</v>
      </c>
      <c r="P25" s="1"/>
      <c r="Q25" s="1">
        <f>Q21*3</f>
        <v>167.03280000000001</v>
      </c>
      <c r="R25" s="1">
        <f>R21*3</f>
        <v>668.13120000000004</v>
      </c>
    </row>
    <row r="26" spans="1:18" x14ac:dyDescent="0.3">
      <c r="A26" t="s">
        <v>7</v>
      </c>
      <c r="B26" s="1">
        <f t="shared" ref="B26:O26" si="13">B21*4</f>
        <v>85.958400000000012</v>
      </c>
      <c r="C26" s="1">
        <f t="shared" si="13"/>
        <v>203.17440000000002</v>
      </c>
      <c r="D26" s="1">
        <f t="shared" si="13"/>
        <v>260.48</v>
      </c>
      <c r="E26" s="1">
        <f t="shared" si="13"/>
        <v>260.48</v>
      </c>
      <c r="F26" s="1">
        <f t="shared" si="13"/>
        <v>343.83359999999999</v>
      </c>
      <c r="G26" s="1">
        <f t="shared" si="13"/>
        <v>416.76800000000003</v>
      </c>
      <c r="H26" s="1">
        <f t="shared" si="13"/>
        <v>703.29600000000005</v>
      </c>
      <c r="I26" s="1">
        <f t="shared" si="13"/>
        <v>781.44000000000017</v>
      </c>
      <c r="J26" s="1">
        <f t="shared" si="13"/>
        <v>937.72800000000018</v>
      </c>
      <c r="K26" s="1">
        <f t="shared" si="13"/>
        <v>937.72800000000018</v>
      </c>
      <c r="L26" s="1">
        <f t="shared" si="13"/>
        <v>1250.3040000000001</v>
      </c>
      <c r="M26" s="1">
        <f t="shared" si="13"/>
        <v>1250.3040000000001</v>
      </c>
      <c r="N26" s="1">
        <f t="shared" si="13"/>
        <v>1562.8800000000003</v>
      </c>
      <c r="O26" s="1">
        <f t="shared" si="13"/>
        <v>3282.0480000000007</v>
      </c>
      <c r="P26" s="1"/>
      <c r="Q26" s="1">
        <f>Q21*4</f>
        <v>222.71040000000002</v>
      </c>
      <c r="R26" s="1">
        <f>R21*4</f>
        <v>890.84160000000008</v>
      </c>
    </row>
    <row r="27" spans="1:18" x14ac:dyDescent="0.3">
      <c r="A27" t="s">
        <v>3</v>
      </c>
      <c r="B27" s="1">
        <f>B25*6</f>
        <v>386.8128000000001</v>
      </c>
      <c r="C27" s="1">
        <f>C25*6</f>
        <v>914.28480000000013</v>
      </c>
      <c r="D27" s="1">
        <f>D25*6</f>
        <v>1172.1600000000001</v>
      </c>
      <c r="E27" s="1">
        <f>E25*6</f>
        <v>1172.1600000000001</v>
      </c>
      <c r="F27" s="1">
        <f t="shared" ref="F27" si="14">F25*6</f>
        <v>1547.2512000000002</v>
      </c>
      <c r="G27" s="1">
        <f t="shared" ref="G27:N27" si="15">G25*6</f>
        <v>1875.4560000000001</v>
      </c>
      <c r="H27" s="1">
        <f t="shared" ref="H27" si="16">H25*6</f>
        <v>3164.8319999999999</v>
      </c>
      <c r="I27" s="1">
        <f t="shared" si="15"/>
        <v>3516.4800000000009</v>
      </c>
      <c r="J27" s="1">
        <f t="shared" si="15"/>
        <v>4219.7760000000007</v>
      </c>
      <c r="K27" s="1">
        <f t="shared" si="15"/>
        <v>4219.7760000000007</v>
      </c>
      <c r="L27" s="1">
        <f t="shared" si="15"/>
        <v>5626.3680000000004</v>
      </c>
      <c r="M27" s="1">
        <f t="shared" si="15"/>
        <v>5626.3680000000004</v>
      </c>
      <c r="N27" s="1">
        <f t="shared" si="15"/>
        <v>7032.9600000000019</v>
      </c>
      <c r="O27" s="1">
        <f t="shared" ref="O27" si="17">O25*6</f>
        <v>14769.216000000004</v>
      </c>
      <c r="P27" s="1"/>
      <c r="Q27" s="1">
        <f>Q25*6</f>
        <v>1002.1968000000001</v>
      </c>
      <c r="R27" s="1">
        <f>R25*6</f>
        <v>4008.7872000000002</v>
      </c>
    </row>
    <row r="32" spans="1:18" ht="23.4" x14ac:dyDescent="0.45">
      <c r="B32" s="17" t="s">
        <v>72</v>
      </c>
    </row>
  </sheetData>
  <conditionalFormatting sqref="B18:O18 Q18:R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2:R2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7"/>
  <sheetViews>
    <sheetView workbookViewId="0">
      <selection activeCell="C8" sqref="C8"/>
    </sheetView>
  </sheetViews>
  <sheetFormatPr baseColWidth="10" defaultColWidth="11.21875" defaultRowHeight="15.6" x14ac:dyDescent="0.3"/>
  <cols>
    <col min="1" max="2" width="7.88671875" style="19" customWidth="1"/>
    <col min="3" max="3" width="11.21875" style="21"/>
    <col min="4" max="5" width="8.33203125" style="21" customWidth="1"/>
    <col min="6" max="6" width="7.21875" style="21" customWidth="1"/>
    <col min="7" max="7" width="7.44140625" style="21" customWidth="1"/>
    <col min="8" max="8" width="9.33203125" style="21" customWidth="1"/>
    <col min="9" max="9" width="10.44140625" style="21" customWidth="1"/>
    <col min="10" max="10" width="9" style="21" customWidth="1"/>
    <col min="11" max="11" width="7.44140625" style="21" customWidth="1"/>
    <col min="12" max="12" width="11.88671875" style="21" customWidth="1"/>
    <col min="13" max="13" width="12.21875" style="21" customWidth="1"/>
    <col min="14" max="14" width="13.44140625" style="21" customWidth="1"/>
    <col min="15" max="15" width="10.44140625" style="21" customWidth="1"/>
    <col min="16" max="16" width="9.21875" style="21" customWidth="1"/>
    <col min="17" max="19" width="11.21875" style="21"/>
    <col min="20" max="20" width="11.44140625" style="21" bestFit="1" customWidth="1"/>
    <col min="21" max="16384" width="11.21875" style="21"/>
  </cols>
  <sheetData>
    <row r="1" spans="1:20" ht="21" x14ac:dyDescent="0.4">
      <c r="C1" s="20" t="s">
        <v>45</v>
      </c>
    </row>
    <row r="2" spans="1:20" s="23" customFormat="1" ht="62.4" x14ac:dyDescent="0.3">
      <c r="A2" s="22" t="s">
        <v>46</v>
      </c>
      <c r="B2" s="22"/>
      <c r="C2" s="23" t="s">
        <v>47</v>
      </c>
      <c r="D2" s="23" t="s">
        <v>48</v>
      </c>
      <c r="E2" s="23" t="s">
        <v>49</v>
      </c>
      <c r="F2" s="23" t="s">
        <v>50</v>
      </c>
      <c r="G2" s="23" t="s">
        <v>51</v>
      </c>
      <c r="H2" s="23" t="s">
        <v>52</v>
      </c>
      <c r="I2" s="23" t="s">
        <v>53</v>
      </c>
      <c r="J2" s="23" t="s">
        <v>54</v>
      </c>
      <c r="K2" s="23" t="s">
        <v>55</v>
      </c>
      <c r="L2" s="23" t="s">
        <v>56</v>
      </c>
      <c r="M2" s="23" t="s">
        <v>57</v>
      </c>
      <c r="N2" s="23" t="s">
        <v>58</v>
      </c>
      <c r="O2" s="23" t="s">
        <v>59</v>
      </c>
      <c r="P2" s="23" t="s">
        <v>60</v>
      </c>
      <c r="Q2" s="23" t="s">
        <v>61</v>
      </c>
      <c r="R2" s="23" t="s">
        <v>62</v>
      </c>
      <c r="S2" s="23" t="s">
        <v>63</v>
      </c>
      <c r="T2" s="23" t="s">
        <v>64</v>
      </c>
    </row>
    <row r="3" spans="1:20" s="26" customFormat="1" x14ac:dyDescent="0.3">
      <c r="A3" s="19" t="s">
        <v>65</v>
      </c>
      <c r="B3" s="19">
        <v>18650</v>
      </c>
      <c r="C3" s="24">
        <v>6</v>
      </c>
      <c r="D3" s="24">
        <v>6</v>
      </c>
      <c r="E3" s="25">
        <f>C3*D3</f>
        <v>36</v>
      </c>
      <c r="F3" s="26">
        <v>3.65</v>
      </c>
      <c r="G3" s="26">
        <v>4.1500000000000004</v>
      </c>
      <c r="H3" s="25">
        <f>C3*F3</f>
        <v>21.9</v>
      </c>
      <c r="I3" s="26">
        <v>30</v>
      </c>
      <c r="J3" s="24">
        <v>3000</v>
      </c>
      <c r="K3" s="27">
        <f>J3*1</f>
        <v>3000</v>
      </c>
      <c r="L3" s="28">
        <f>K3*D3</f>
        <v>18000</v>
      </c>
      <c r="M3" s="28">
        <f>(L3/1000)*H3</f>
        <v>394.2</v>
      </c>
      <c r="N3" s="25">
        <f>I3*D3</f>
        <v>180</v>
      </c>
      <c r="O3" s="26">
        <f>I3/(J3/1000)</f>
        <v>10</v>
      </c>
      <c r="P3" s="25">
        <f>(O3*K3*D3)/1000</f>
        <v>180</v>
      </c>
      <c r="Q3" s="29">
        <v>48</v>
      </c>
      <c r="R3" s="26">
        <v>80</v>
      </c>
      <c r="S3" s="28">
        <f>Q3*E3+R3</f>
        <v>1808</v>
      </c>
      <c r="T3" s="30">
        <f>M3/(S3/1000)</f>
        <v>218.03097345132741</v>
      </c>
    </row>
    <row r="4" spans="1:20" x14ac:dyDescent="0.3">
      <c r="A4" s="19" t="s">
        <v>66</v>
      </c>
      <c r="B4" s="19">
        <v>18650</v>
      </c>
      <c r="C4" s="24">
        <v>6</v>
      </c>
      <c r="D4" s="24">
        <v>6</v>
      </c>
      <c r="E4" s="25">
        <f t="shared" ref="E4:E10" si="0">C4*D4</f>
        <v>36</v>
      </c>
      <c r="F4" s="26">
        <v>3.65</v>
      </c>
      <c r="G4" s="26">
        <v>4.1500000000000004</v>
      </c>
      <c r="H4" s="25">
        <f t="shared" ref="H4:H10" si="1">C4*F4</f>
        <v>21.9</v>
      </c>
      <c r="I4" s="26">
        <v>15</v>
      </c>
      <c r="J4" s="24">
        <v>3000</v>
      </c>
      <c r="K4" s="27">
        <f t="shared" ref="K4:K10" si="2">J4*1</f>
        <v>3000</v>
      </c>
      <c r="L4" s="28">
        <f t="shared" ref="L4:L10" si="3">K4*D4</f>
        <v>18000</v>
      </c>
      <c r="M4" s="28">
        <f t="shared" ref="M4:M10" si="4">(L4/1000)*H4</f>
        <v>394.2</v>
      </c>
      <c r="N4" s="25">
        <f t="shared" ref="N4:N10" si="5">I4*D4</f>
        <v>90</v>
      </c>
      <c r="O4" s="26">
        <f t="shared" ref="O4:O9" si="6">I4/(J4/1000)</f>
        <v>5</v>
      </c>
      <c r="P4" s="25">
        <f t="shared" ref="P4:P10" si="7">(O4*K4*D4)/1000</f>
        <v>90</v>
      </c>
      <c r="Q4" s="29">
        <v>50</v>
      </c>
      <c r="R4" s="26">
        <v>80</v>
      </c>
      <c r="S4" s="28">
        <f t="shared" ref="S4:S10" si="8">Q4*E4+R4</f>
        <v>1880</v>
      </c>
      <c r="T4" s="30">
        <f t="shared" ref="T4:T10" si="9">M4/(S4/1000)</f>
        <v>209.68085106382981</v>
      </c>
    </row>
    <row r="5" spans="1:20" x14ac:dyDescent="0.3">
      <c r="A5" s="19" t="s">
        <v>66</v>
      </c>
      <c r="B5" s="19">
        <v>21700</v>
      </c>
      <c r="C5" s="24">
        <v>6</v>
      </c>
      <c r="D5" s="24">
        <v>6</v>
      </c>
      <c r="E5" s="25">
        <f t="shared" si="0"/>
        <v>36</v>
      </c>
      <c r="F5" s="26">
        <v>3.65</v>
      </c>
      <c r="G5" s="26">
        <v>4.1500000000000004</v>
      </c>
      <c r="H5" s="25">
        <f t="shared" si="1"/>
        <v>21.9</v>
      </c>
      <c r="I5" s="26">
        <v>35</v>
      </c>
      <c r="J5" s="29">
        <v>4000</v>
      </c>
      <c r="K5" s="27">
        <f t="shared" si="2"/>
        <v>4000</v>
      </c>
      <c r="L5" s="28">
        <f t="shared" si="3"/>
        <v>24000</v>
      </c>
      <c r="M5" s="28">
        <f t="shared" si="4"/>
        <v>525.59999999999991</v>
      </c>
      <c r="N5" s="25">
        <f t="shared" si="5"/>
        <v>210</v>
      </c>
      <c r="O5" s="26">
        <f t="shared" si="6"/>
        <v>8.75</v>
      </c>
      <c r="P5" s="25">
        <f t="shared" si="7"/>
        <v>210</v>
      </c>
      <c r="Q5" s="29">
        <v>67</v>
      </c>
      <c r="R5" s="26">
        <v>60</v>
      </c>
      <c r="S5" s="28">
        <f t="shared" si="8"/>
        <v>2472</v>
      </c>
      <c r="T5" s="30">
        <f t="shared" si="9"/>
        <v>212.62135922330094</v>
      </c>
    </row>
    <row r="6" spans="1:20" x14ac:dyDescent="0.3">
      <c r="A6" s="19" t="s">
        <v>67</v>
      </c>
      <c r="B6" s="19">
        <v>21700</v>
      </c>
      <c r="C6" s="24"/>
      <c r="D6" s="24"/>
      <c r="E6" s="25">
        <f t="shared" si="0"/>
        <v>0</v>
      </c>
      <c r="F6" s="26">
        <v>3.65</v>
      </c>
      <c r="G6" s="26">
        <v>4.1500000000000004</v>
      </c>
      <c r="H6" s="25">
        <f t="shared" si="1"/>
        <v>0</v>
      </c>
      <c r="I6" s="26">
        <v>15</v>
      </c>
      <c r="J6" s="29">
        <v>4250</v>
      </c>
      <c r="K6" s="27">
        <f t="shared" si="2"/>
        <v>4250</v>
      </c>
      <c r="L6" s="28">
        <f t="shared" si="3"/>
        <v>0</v>
      </c>
      <c r="M6" s="28">
        <f t="shared" si="4"/>
        <v>0</v>
      </c>
      <c r="N6" s="25">
        <f t="shared" si="5"/>
        <v>0</v>
      </c>
      <c r="O6" s="26">
        <f t="shared" si="6"/>
        <v>3.5294117647058822</v>
      </c>
      <c r="P6" s="25">
        <f t="shared" si="7"/>
        <v>0</v>
      </c>
      <c r="Q6" s="26">
        <v>48</v>
      </c>
      <c r="R6" s="26">
        <v>40</v>
      </c>
      <c r="S6" s="28">
        <f t="shared" si="8"/>
        <v>40</v>
      </c>
      <c r="T6" s="30">
        <f t="shared" si="9"/>
        <v>0</v>
      </c>
    </row>
    <row r="7" spans="1:20" x14ac:dyDescent="0.3">
      <c r="C7" s="24"/>
      <c r="D7" s="24"/>
      <c r="E7" s="25">
        <f t="shared" si="0"/>
        <v>0</v>
      </c>
      <c r="F7" s="26">
        <v>3.65</v>
      </c>
      <c r="G7" s="26">
        <v>4.1500000000000004</v>
      </c>
      <c r="H7" s="25">
        <f t="shared" si="1"/>
        <v>0</v>
      </c>
      <c r="I7" s="26">
        <v>20</v>
      </c>
      <c r="J7" s="24">
        <v>3000</v>
      </c>
      <c r="K7" s="27">
        <f t="shared" si="2"/>
        <v>3000</v>
      </c>
      <c r="L7" s="28">
        <f t="shared" si="3"/>
        <v>0</v>
      </c>
      <c r="M7" s="28">
        <f t="shared" si="4"/>
        <v>0</v>
      </c>
      <c r="N7" s="25">
        <f t="shared" si="5"/>
        <v>0</v>
      </c>
      <c r="O7" s="26">
        <f t="shared" si="6"/>
        <v>6.666666666666667</v>
      </c>
      <c r="P7" s="25">
        <f t="shared" si="7"/>
        <v>0</v>
      </c>
      <c r="Q7" s="26">
        <v>48</v>
      </c>
      <c r="R7" s="26">
        <v>40</v>
      </c>
      <c r="S7" s="28">
        <f t="shared" si="8"/>
        <v>40</v>
      </c>
      <c r="T7" s="30">
        <f t="shared" si="9"/>
        <v>0</v>
      </c>
    </row>
    <row r="8" spans="1:20" x14ac:dyDescent="0.3">
      <c r="C8" s="24"/>
      <c r="D8" s="24"/>
      <c r="E8" s="25">
        <f t="shared" si="0"/>
        <v>0</v>
      </c>
      <c r="F8" s="26">
        <v>3.65</v>
      </c>
      <c r="G8" s="26">
        <v>4.1500000000000004</v>
      </c>
      <c r="H8" s="25">
        <f t="shared" si="1"/>
        <v>0</v>
      </c>
      <c r="I8" s="26">
        <v>20</v>
      </c>
      <c r="J8" s="24">
        <v>3000</v>
      </c>
      <c r="K8" s="27">
        <f t="shared" si="2"/>
        <v>3000</v>
      </c>
      <c r="L8" s="28">
        <f t="shared" si="3"/>
        <v>0</v>
      </c>
      <c r="M8" s="28">
        <f t="shared" si="4"/>
        <v>0</v>
      </c>
      <c r="N8" s="25">
        <f t="shared" si="5"/>
        <v>0</v>
      </c>
      <c r="O8" s="26">
        <f t="shared" si="6"/>
        <v>6.666666666666667</v>
      </c>
      <c r="P8" s="25">
        <f t="shared" si="7"/>
        <v>0</v>
      </c>
      <c r="Q8" s="26">
        <v>48</v>
      </c>
      <c r="R8" s="26">
        <v>20</v>
      </c>
      <c r="S8" s="28">
        <f t="shared" si="8"/>
        <v>20</v>
      </c>
      <c r="T8" s="30">
        <f t="shared" si="9"/>
        <v>0</v>
      </c>
    </row>
    <row r="9" spans="1:20" x14ac:dyDescent="0.3">
      <c r="C9" s="24"/>
      <c r="D9" s="24"/>
      <c r="E9" s="25">
        <f t="shared" si="0"/>
        <v>0</v>
      </c>
      <c r="F9" s="26">
        <v>3.65</v>
      </c>
      <c r="G9" s="26">
        <v>4.1500000000000004</v>
      </c>
      <c r="H9" s="25">
        <f t="shared" si="1"/>
        <v>0</v>
      </c>
      <c r="I9" s="26">
        <v>20</v>
      </c>
      <c r="J9" s="24">
        <v>3000</v>
      </c>
      <c r="K9" s="27">
        <f t="shared" si="2"/>
        <v>3000</v>
      </c>
      <c r="L9" s="28">
        <f t="shared" si="3"/>
        <v>0</v>
      </c>
      <c r="M9" s="28">
        <f t="shared" si="4"/>
        <v>0</v>
      </c>
      <c r="N9" s="25">
        <f t="shared" si="5"/>
        <v>0</v>
      </c>
      <c r="O9" s="26">
        <f t="shared" si="6"/>
        <v>6.666666666666667</v>
      </c>
      <c r="P9" s="25">
        <f t="shared" si="7"/>
        <v>0</v>
      </c>
      <c r="Q9" s="26">
        <v>48</v>
      </c>
      <c r="R9" s="26">
        <v>20</v>
      </c>
      <c r="S9" s="28">
        <f t="shared" si="8"/>
        <v>20</v>
      </c>
      <c r="T9" s="30">
        <f t="shared" si="9"/>
        <v>0</v>
      </c>
    </row>
    <row r="10" spans="1:20" x14ac:dyDescent="0.3">
      <c r="C10" s="24"/>
      <c r="D10" s="24"/>
      <c r="E10" s="25">
        <f t="shared" si="0"/>
        <v>0</v>
      </c>
      <c r="F10" s="26">
        <v>3.65</v>
      </c>
      <c r="G10" s="26">
        <v>4.1500000000000004</v>
      </c>
      <c r="H10" s="25">
        <f t="shared" si="1"/>
        <v>0</v>
      </c>
      <c r="I10" s="26">
        <v>20</v>
      </c>
      <c r="J10" s="24">
        <v>3000</v>
      </c>
      <c r="K10" s="27">
        <f t="shared" si="2"/>
        <v>3000</v>
      </c>
      <c r="L10" s="28">
        <f t="shared" si="3"/>
        <v>0</v>
      </c>
      <c r="M10" s="28">
        <f t="shared" si="4"/>
        <v>0</v>
      </c>
      <c r="N10" s="25">
        <f t="shared" si="5"/>
        <v>0</v>
      </c>
      <c r="O10" s="26">
        <f>I10/(J10/1000)</f>
        <v>6.666666666666667</v>
      </c>
      <c r="P10" s="25">
        <f t="shared" si="7"/>
        <v>0</v>
      </c>
      <c r="Q10" s="26">
        <v>48</v>
      </c>
      <c r="R10" s="26">
        <v>10</v>
      </c>
      <c r="S10" s="28">
        <f t="shared" si="8"/>
        <v>10</v>
      </c>
      <c r="T10" s="30">
        <f t="shared" si="9"/>
        <v>0</v>
      </c>
    </row>
    <row r="11" spans="1:20" s="23" customFormat="1" ht="62.4" x14ac:dyDescent="0.3">
      <c r="A11" s="22" t="s">
        <v>68</v>
      </c>
      <c r="B11" s="22"/>
      <c r="C11" s="23" t="s">
        <v>47</v>
      </c>
      <c r="D11" s="23" t="s">
        <v>48</v>
      </c>
      <c r="E11" s="23" t="s">
        <v>49</v>
      </c>
      <c r="F11" s="23" t="s">
        <v>50</v>
      </c>
      <c r="G11" s="23" t="s">
        <v>51</v>
      </c>
      <c r="H11" s="23" t="s">
        <v>52</v>
      </c>
      <c r="I11" s="23" t="s">
        <v>53</v>
      </c>
      <c r="J11" s="23" t="s">
        <v>54</v>
      </c>
      <c r="K11" s="23" t="s">
        <v>55</v>
      </c>
      <c r="L11" s="23" t="s">
        <v>56</v>
      </c>
      <c r="M11" s="23" t="s">
        <v>57</v>
      </c>
      <c r="N11" s="23" t="s">
        <v>58</v>
      </c>
      <c r="O11" s="23" t="s">
        <v>59</v>
      </c>
      <c r="P11" s="23" t="s">
        <v>60</v>
      </c>
      <c r="Q11" s="23" t="s">
        <v>61</v>
      </c>
      <c r="R11" s="23" t="s">
        <v>62</v>
      </c>
      <c r="S11" s="23" t="s">
        <v>63</v>
      </c>
      <c r="T11" s="23" t="s">
        <v>64</v>
      </c>
    </row>
    <row r="12" spans="1:20" s="26" customFormat="1" x14ac:dyDescent="0.3">
      <c r="A12" s="19" t="s">
        <v>69</v>
      </c>
      <c r="B12" s="19">
        <v>26650</v>
      </c>
      <c r="C12" s="24">
        <v>6</v>
      </c>
      <c r="D12" s="24">
        <v>6</v>
      </c>
      <c r="E12" s="25">
        <f>C12*D12</f>
        <v>36</v>
      </c>
      <c r="F12" s="26">
        <v>3.2</v>
      </c>
      <c r="G12" s="26">
        <v>3.3</v>
      </c>
      <c r="H12" s="25">
        <f>C12*F12</f>
        <v>19.200000000000003</v>
      </c>
      <c r="I12" s="26">
        <v>30</v>
      </c>
      <c r="J12" s="24">
        <v>2500</v>
      </c>
      <c r="K12" s="27">
        <f>J12*1</f>
        <v>2500</v>
      </c>
      <c r="L12" s="28">
        <f>K12*D12</f>
        <v>15000</v>
      </c>
      <c r="M12" s="28">
        <f>(L12/1000)*H12</f>
        <v>288.00000000000006</v>
      </c>
      <c r="N12" s="25">
        <f>I12*D12</f>
        <v>180</v>
      </c>
      <c r="O12" s="26">
        <f>I12/(J12/1000)</f>
        <v>12</v>
      </c>
      <c r="P12" s="25">
        <f>(O12*K12*D12)/1000</f>
        <v>180</v>
      </c>
      <c r="Q12" s="29">
        <v>76</v>
      </c>
      <c r="R12" s="26">
        <v>50</v>
      </c>
      <c r="S12" s="28">
        <f>Q12*E12+R12</f>
        <v>2786</v>
      </c>
      <c r="T12" s="30">
        <f>M12/(S12/1000)</f>
        <v>103.37401292175163</v>
      </c>
    </row>
    <row r="13" spans="1:20" x14ac:dyDescent="0.3">
      <c r="C13" s="24"/>
      <c r="D13" s="24"/>
      <c r="E13" s="25">
        <f t="shared" ref="E13:E16" si="10">C13*D13</f>
        <v>0</v>
      </c>
      <c r="F13" s="26">
        <v>3.65</v>
      </c>
      <c r="G13" s="26">
        <v>4.1500000000000004</v>
      </c>
      <c r="H13" s="25">
        <f t="shared" ref="H13:H16" si="11">C13*F13</f>
        <v>0</v>
      </c>
      <c r="I13" s="26">
        <v>15</v>
      </c>
      <c r="J13" s="24">
        <v>3000</v>
      </c>
      <c r="K13" s="27">
        <f t="shared" ref="K13:K16" si="12">J13*1</f>
        <v>3000</v>
      </c>
      <c r="L13" s="28">
        <f t="shared" ref="L13:L16" si="13">K13*D13</f>
        <v>0</v>
      </c>
      <c r="M13" s="28">
        <f t="shared" ref="M13:M16" si="14">(L13/1000)*H13</f>
        <v>0</v>
      </c>
      <c r="N13" s="25">
        <f t="shared" ref="N13:N16" si="15">I13*D13</f>
        <v>0</v>
      </c>
      <c r="O13" s="26">
        <f t="shared" ref="O13:O16" si="16">I13/(J13/1000)</f>
        <v>5</v>
      </c>
      <c r="P13" s="25">
        <f t="shared" ref="P13:P16" si="17">(O13*K13*D13)/1000</f>
        <v>0</v>
      </c>
      <c r="Q13" s="26">
        <v>50</v>
      </c>
      <c r="R13" s="26">
        <v>80</v>
      </c>
      <c r="S13" s="28">
        <f t="shared" ref="S13:S16" si="18">Q13*E13+R13</f>
        <v>80</v>
      </c>
      <c r="T13" s="30">
        <f t="shared" ref="T13:T16" si="19">M13/(S13/1000)</f>
        <v>0</v>
      </c>
    </row>
    <row r="14" spans="1:20" x14ac:dyDescent="0.3">
      <c r="C14" s="24"/>
      <c r="D14" s="24"/>
      <c r="E14" s="25">
        <f t="shared" si="10"/>
        <v>0</v>
      </c>
      <c r="F14" s="26">
        <v>3.65</v>
      </c>
      <c r="G14" s="26">
        <v>4.1500000000000004</v>
      </c>
      <c r="H14" s="25">
        <f t="shared" si="11"/>
        <v>0</v>
      </c>
      <c r="I14" s="26">
        <v>35</v>
      </c>
      <c r="J14" s="29">
        <v>4000</v>
      </c>
      <c r="K14" s="27">
        <f t="shared" si="12"/>
        <v>4000</v>
      </c>
      <c r="L14" s="28">
        <f t="shared" si="13"/>
        <v>0</v>
      </c>
      <c r="M14" s="28">
        <f t="shared" si="14"/>
        <v>0</v>
      </c>
      <c r="N14" s="25">
        <f t="shared" si="15"/>
        <v>0</v>
      </c>
      <c r="O14" s="26">
        <f t="shared" si="16"/>
        <v>8.75</v>
      </c>
      <c r="P14" s="25">
        <f t="shared" si="17"/>
        <v>0</v>
      </c>
      <c r="Q14" s="26">
        <v>67</v>
      </c>
      <c r="R14" s="26">
        <v>60</v>
      </c>
      <c r="S14" s="28">
        <f t="shared" si="18"/>
        <v>60</v>
      </c>
      <c r="T14" s="30">
        <f t="shared" si="19"/>
        <v>0</v>
      </c>
    </row>
    <row r="15" spans="1:20" x14ac:dyDescent="0.3">
      <c r="C15" s="24"/>
      <c r="D15" s="24"/>
      <c r="E15" s="25">
        <f t="shared" si="10"/>
        <v>0</v>
      </c>
      <c r="F15" s="26">
        <v>3.65</v>
      </c>
      <c r="G15" s="26">
        <v>4.1500000000000004</v>
      </c>
      <c r="H15" s="25">
        <f t="shared" si="11"/>
        <v>0</v>
      </c>
      <c r="I15" s="26">
        <v>15</v>
      </c>
      <c r="J15" s="29">
        <v>4250</v>
      </c>
      <c r="K15" s="27">
        <f t="shared" si="12"/>
        <v>4250</v>
      </c>
      <c r="L15" s="28">
        <f t="shared" si="13"/>
        <v>0</v>
      </c>
      <c r="M15" s="28">
        <f t="shared" si="14"/>
        <v>0</v>
      </c>
      <c r="N15" s="25">
        <f t="shared" si="15"/>
        <v>0</v>
      </c>
      <c r="O15" s="26">
        <f t="shared" si="16"/>
        <v>3.5294117647058822</v>
      </c>
      <c r="P15" s="25">
        <f t="shared" si="17"/>
        <v>0</v>
      </c>
      <c r="Q15" s="26">
        <v>48</v>
      </c>
      <c r="R15" s="26">
        <v>40</v>
      </c>
      <c r="S15" s="28">
        <f t="shared" si="18"/>
        <v>40</v>
      </c>
      <c r="T15" s="30">
        <f t="shared" si="19"/>
        <v>0</v>
      </c>
    </row>
    <row r="16" spans="1:20" x14ac:dyDescent="0.3">
      <c r="C16" s="24"/>
      <c r="D16" s="24"/>
      <c r="E16" s="25">
        <f t="shared" si="10"/>
        <v>0</v>
      </c>
      <c r="F16" s="26">
        <v>3.65</v>
      </c>
      <c r="G16" s="26">
        <v>4.1500000000000004</v>
      </c>
      <c r="H16" s="25">
        <f t="shared" si="11"/>
        <v>0</v>
      </c>
      <c r="I16" s="26">
        <v>20</v>
      </c>
      <c r="J16" s="24">
        <v>3000</v>
      </c>
      <c r="K16" s="27">
        <f t="shared" si="12"/>
        <v>3000</v>
      </c>
      <c r="L16" s="28">
        <f t="shared" si="13"/>
        <v>0</v>
      </c>
      <c r="M16" s="28">
        <f t="shared" si="14"/>
        <v>0</v>
      </c>
      <c r="N16" s="25">
        <f t="shared" si="15"/>
        <v>0</v>
      </c>
      <c r="O16" s="26">
        <f t="shared" si="16"/>
        <v>6.666666666666667</v>
      </c>
      <c r="P16" s="25">
        <f t="shared" si="17"/>
        <v>0</v>
      </c>
      <c r="Q16" s="26">
        <v>48</v>
      </c>
      <c r="R16" s="26">
        <v>40</v>
      </c>
      <c r="S16" s="28">
        <f t="shared" si="18"/>
        <v>40</v>
      </c>
      <c r="T16" s="30">
        <f t="shared" si="19"/>
        <v>0</v>
      </c>
    </row>
    <row r="17" spans="1:20" s="23" customFormat="1" ht="78" x14ac:dyDescent="0.3">
      <c r="A17" s="22"/>
      <c r="B17" s="22"/>
      <c r="C17" s="23" t="s">
        <v>47</v>
      </c>
      <c r="D17" s="23" t="s">
        <v>48</v>
      </c>
      <c r="E17" s="23" t="s">
        <v>49</v>
      </c>
      <c r="F17" s="23" t="s">
        <v>50</v>
      </c>
      <c r="G17" s="23" t="s">
        <v>51</v>
      </c>
      <c r="H17" s="23" t="s">
        <v>52</v>
      </c>
      <c r="I17" s="23" t="s">
        <v>53</v>
      </c>
      <c r="J17" s="23" t="s">
        <v>54</v>
      </c>
      <c r="K17" s="23" t="s">
        <v>55</v>
      </c>
      <c r="L17" s="23" t="s">
        <v>56</v>
      </c>
      <c r="M17" s="23" t="s">
        <v>57</v>
      </c>
      <c r="N17" s="23" t="s">
        <v>58</v>
      </c>
      <c r="O17" s="23" t="s">
        <v>70</v>
      </c>
      <c r="P17" s="23" t="s">
        <v>60</v>
      </c>
      <c r="Q17" s="23" t="s">
        <v>61</v>
      </c>
      <c r="R17" s="23" t="s">
        <v>62</v>
      </c>
      <c r="S17" s="23" t="s">
        <v>63</v>
      </c>
      <c r="T17" s="23" t="s">
        <v>64</v>
      </c>
    </row>
    <row r="18" spans="1:20" s="26" customFormat="1" x14ac:dyDescent="0.3">
      <c r="A18" s="19" t="s">
        <v>71</v>
      </c>
      <c r="B18" s="19"/>
      <c r="C18" s="24">
        <v>6</v>
      </c>
      <c r="D18" s="24">
        <v>1</v>
      </c>
      <c r="E18" s="25">
        <f>C18*D18</f>
        <v>6</v>
      </c>
      <c r="F18" s="26">
        <v>3.7</v>
      </c>
      <c r="G18" s="26">
        <v>4.2</v>
      </c>
      <c r="H18" s="25">
        <f>C18*F18</f>
        <v>22.200000000000003</v>
      </c>
      <c r="I18" s="26">
        <v>20</v>
      </c>
      <c r="J18" s="24">
        <v>9000</v>
      </c>
      <c r="K18" s="27">
        <f>J18*0.95</f>
        <v>8550</v>
      </c>
      <c r="L18" s="28">
        <f>K18*D18</f>
        <v>8550</v>
      </c>
      <c r="M18" s="28">
        <f>(L18/1000)*H18</f>
        <v>189.81000000000003</v>
      </c>
      <c r="N18" s="25">
        <f t="shared" ref="N18:N25" si="20">I18*D18</f>
        <v>20</v>
      </c>
      <c r="O18" s="26">
        <f>I18/2</f>
        <v>10</v>
      </c>
      <c r="P18" s="25">
        <f>(O18*K18*D18)/1000</f>
        <v>85.5</v>
      </c>
      <c r="Q18" s="26">
        <v>185</v>
      </c>
      <c r="R18" s="26">
        <v>50</v>
      </c>
      <c r="S18" s="28">
        <f>Q18*E18+R18</f>
        <v>1160</v>
      </c>
      <c r="T18" s="30">
        <f>M18/(S18/1000)</f>
        <v>163.62931034482762</v>
      </c>
    </row>
    <row r="19" spans="1:20" x14ac:dyDescent="0.3">
      <c r="C19" s="24">
        <v>6</v>
      </c>
      <c r="D19" s="24">
        <v>1</v>
      </c>
      <c r="E19" s="25">
        <f t="shared" ref="E19:E27" si="21">C19*D19</f>
        <v>6</v>
      </c>
      <c r="F19" s="26">
        <v>3.7</v>
      </c>
      <c r="G19" s="26">
        <v>4.2</v>
      </c>
      <c r="H19" s="25">
        <f t="shared" ref="H19:H27" si="22">C19*F19</f>
        <v>22.200000000000003</v>
      </c>
      <c r="I19" s="26">
        <v>15</v>
      </c>
      <c r="J19" s="24">
        <v>10000</v>
      </c>
      <c r="K19" s="27">
        <f t="shared" ref="K19:K22" si="23">J19*0.95</f>
        <v>9500</v>
      </c>
      <c r="L19" s="28">
        <f>K19*D19</f>
        <v>9500</v>
      </c>
      <c r="M19" s="28">
        <f>(L19/1000)*H19</f>
        <v>210.90000000000003</v>
      </c>
      <c r="N19" s="25">
        <f t="shared" si="20"/>
        <v>15</v>
      </c>
      <c r="O19" s="26">
        <f t="shared" ref="O19:O27" si="24">I19/2</f>
        <v>7.5</v>
      </c>
      <c r="P19" s="25">
        <f t="shared" ref="P19:P27" si="25">(O19*K19*D19)/1000</f>
        <v>71.25</v>
      </c>
      <c r="Q19" s="26">
        <v>200</v>
      </c>
      <c r="R19" s="26">
        <v>50</v>
      </c>
      <c r="S19" s="28">
        <f t="shared" ref="S19:S27" si="26">Q19*E19+R19</f>
        <v>1250</v>
      </c>
      <c r="T19" s="30">
        <f t="shared" ref="T19:T27" si="27">M19/(S19/1000)</f>
        <v>168.72000000000003</v>
      </c>
    </row>
    <row r="20" spans="1:20" x14ac:dyDescent="0.3">
      <c r="C20" s="24">
        <v>6</v>
      </c>
      <c r="D20" s="24">
        <v>1</v>
      </c>
      <c r="E20" s="25">
        <f t="shared" si="21"/>
        <v>6</v>
      </c>
      <c r="F20" s="26">
        <v>3.7</v>
      </c>
      <c r="G20" s="26">
        <v>4.2</v>
      </c>
      <c r="H20" s="25">
        <f t="shared" si="22"/>
        <v>22.200000000000003</v>
      </c>
      <c r="I20" s="26">
        <v>20</v>
      </c>
      <c r="J20" s="24">
        <v>12000</v>
      </c>
      <c r="K20" s="27">
        <f t="shared" si="23"/>
        <v>11400</v>
      </c>
      <c r="L20" s="28">
        <f>K20*D20</f>
        <v>11400</v>
      </c>
      <c r="M20" s="28">
        <f>(L20/1000)*H20</f>
        <v>253.08000000000004</v>
      </c>
      <c r="N20" s="25">
        <f t="shared" si="20"/>
        <v>20</v>
      </c>
      <c r="O20" s="26">
        <f t="shared" si="24"/>
        <v>10</v>
      </c>
      <c r="P20" s="25">
        <f t="shared" si="25"/>
        <v>114</v>
      </c>
      <c r="Q20" s="26">
        <v>250</v>
      </c>
      <c r="R20" s="26">
        <v>50</v>
      </c>
      <c r="S20" s="28">
        <f t="shared" si="26"/>
        <v>1550</v>
      </c>
      <c r="T20" s="30">
        <f t="shared" si="27"/>
        <v>163.27741935483874</v>
      </c>
    </row>
    <row r="21" spans="1:20" x14ac:dyDescent="0.3">
      <c r="C21" s="24">
        <v>6</v>
      </c>
      <c r="D21" s="24">
        <v>2</v>
      </c>
      <c r="E21" s="25">
        <f>C21*D21</f>
        <v>12</v>
      </c>
      <c r="F21" s="26">
        <v>3.7</v>
      </c>
      <c r="G21" s="26">
        <v>4.2</v>
      </c>
      <c r="H21" s="25">
        <f>C21*F21</f>
        <v>22.200000000000003</v>
      </c>
      <c r="I21" s="26">
        <v>20</v>
      </c>
      <c r="J21" s="24">
        <v>9000</v>
      </c>
      <c r="K21" s="27">
        <f t="shared" si="23"/>
        <v>8550</v>
      </c>
      <c r="L21" s="28">
        <f>K21*D21</f>
        <v>17100</v>
      </c>
      <c r="M21" s="28">
        <f>(L21/1000)*H21</f>
        <v>379.62000000000006</v>
      </c>
      <c r="N21" s="25">
        <f t="shared" si="20"/>
        <v>40</v>
      </c>
      <c r="O21" s="26">
        <f>I21/2</f>
        <v>10</v>
      </c>
      <c r="P21" s="25">
        <f>(O21*K21*D21)/1000</f>
        <v>171</v>
      </c>
      <c r="Q21" s="26">
        <v>185</v>
      </c>
      <c r="R21" s="26">
        <v>50</v>
      </c>
      <c r="S21" s="28">
        <f>Q21*E21+R21</f>
        <v>2270</v>
      </c>
      <c r="T21" s="30">
        <f>M21/(S21/1000)</f>
        <v>167.23348017621149</v>
      </c>
    </row>
    <row r="22" spans="1:20" x14ac:dyDescent="0.3">
      <c r="C22" s="24">
        <v>4</v>
      </c>
      <c r="D22" s="24">
        <v>1</v>
      </c>
      <c r="E22" s="25">
        <f t="shared" si="21"/>
        <v>4</v>
      </c>
      <c r="F22" s="26">
        <v>3.7</v>
      </c>
      <c r="G22" s="26">
        <v>4.2</v>
      </c>
      <c r="H22" s="25">
        <f t="shared" si="22"/>
        <v>14.8</v>
      </c>
      <c r="I22" s="26">
        <v>20</v>
      </c>
      <c r="J22" s="24">
        <v>5000</v>
      </c>
      <c r="K22" s="27">
        <f t="shared" si="23"/>
        <v>4750</v>
      </c>
      <c r="L22" s="28"/>
      <c r="M22" s="28"/>
      <c r="N22" s="25">
        <f t="shared" si="20"/>
        <v>20</v>
      </c>
      <c r="O22" s="26">
        <f t="shared" si="24"/>
        <v>10</v>
      </c>
      <c r="P22" s="25">
        <f t="shared" si="25"/>
        <v>47.5</v>
      </c>
      <c r="Q22" s="26">
        <v>185</v>
      </c>
      <c r="R22" s="26">
        <v>50</v>
      </c>
      <c r="S22" s="28">
        <f t="shared" si="26"/>
        <v>790</v>
      </c>
      <c r="T22" s="30">
        <f t="shared" si="27"/>
        <v>0</v>
      </c>
    </row>
    <row r="23" spans="1:20" x14ac:dyDescent="0.3">
      <c r="C23" s="24"/>
      <c r="D23" s="24"/>
      <c r="E23" s="25">
        <f t="shared" si="21"/>
        <v>0</v>
      </c>
      <c r="F23" s="26">
        <v>3.7</v>
      </c>
      <c r="G23" s="26">
        <v>4.2</v>
      </c>
      <c r="H23" s="25">
        <f t="shared" si="22"/>
        <v>0</v>
      </c>
      <c r="I23" s="26">
        <v>20</v>
      </c>
      <c r="J23" s="24"/>
      <c r="K23" s="27">
        <f t="shared" ref="K23:K27" si="28">J23*0.9</f>
        <v>0</v>
      </c>
      <c r="L23" s="28"/>
      <c r="M23" s="28"/>
      <c r="N23" s="25">
        <f t="shared" si="20"/>
        <v>0</v>
      </c>
      <c r="O23" s="26">
        <f t="shared" si="24"/>
        <v>10</v>
      </c>
      <c r="P23" s="25">
        <f t="shared" si="25"/>
        <v>0</v>
      </c>
      <c r="Q23" s="26">
        <v>185</v>
      </c>
      <c r="R23" s="26">
        <v>50</v>
      </c>
      <c r="S23" s="28">
        <f t="shared" si="26"/>
        <v>50</v>
      </c>
      <c r="T23" s="30">
        <f t="shared" si="27"/>
        <v>0</v>
      </c>
    </row>
    <row r="24" spans="1:20" x14ac:dyDescent="0.3">
      <c r="C24" s="24"/>
      <c r="D24" s="24"/>
      <c r="E24" s="25">
        <f t="shared" si="21"/>
        <v>0</v>
      </c>
      <c r="F24" s="26">
        <v>3.7</v>
      </c>
      <c r="G24" s="26">
        <v>4.2</v>
      </c>
      <c r="H24" s="25">
        <f t="shared" si="22"/>
        <v>0</v>
      </c>
      <c r="I24" s="26">
        <v>20</v>
      </c>
      <c r="J24" s="24"/>
      <c r="K24" s="27">
        <f t="shared" si="28"/>
        <v>0</v>
      </c>
      <c r="L24" s="28"/>
      <c r="M24" s="28"/>
      <c r="N24" s="25">
        <f t="shared" si="20"/>
        <v>0</v>
      </c>
      <c r="O24" s="26">
        <f t="shared" si="24"/>
        <v>10</v>
      </c>
      <c r="P24" s="25">
        <f t="shared" si="25"/>
        <v>0</v>
      </c>
      <c r="Q24" s="26">
        <v>185</v>
      </c>
      <c r="R24" s="26">
        <v>50</v>
      </c>
      <c r="S24" s="28">
        <f t="shared" si="26"/>
        <v>50</v>
      </c>
      <c r="T24" s="30">
        <f t="shared" si="27"/>
        <v>0</v>
      </c>
    </row>
    <row r="25" spans="1:20" x14ac:dyDescent="0.3">
      <c r="C25" s="24"/>
      <c r="D25" s="24"/>
      <c r="E25" s="25">
        <f t="shared" si="21"/>
        <v>0</v>
      </c>
      <c r="F25" s="26">
        <v>3.7</v>
      </c>
      <c r="G25" s="26">
        <v>4.2</v>
      </c>
      <c r="H25" s="25">
        <f t="shared" si="22"/>
        <v>0</v>
      </c>
      <c r="I25" s="26">
        <v>20</v>
      </c>
      <c r="J25" s="24"/>
      <c r="K25" s="27">
        <f t="shared" si="28"/>
        <v>0</v>
      </c>
      <c r="L25" s="28"/>
      <c r="M25" s="28"/>
      <c r="N25" s="25">
        <f t="shared" si="20"/>
        <v>0</v>
      </c>
      <c r="O25" s="26">
        <f t="shared" si="24"/>
        <v>10</v>
      </c>
      <c r="P25" s="25">
        <f t="shared" si="25"/>
        <v>0</v>
      </c>
      <c r="Q25" s="26">
        <v>185</v>
      </c>
      <c r="R25" s="26">
        <v>50</v>
      </c>
      <c r="S25" s="28">
        <f t="shared" si="26"/>
        <v>50</v>
      </c>
      <c r="T25" s="30">
        <f t="shared" si="27"/>
        <v>0</v>
      </c>
    </row>
    <row r="26" spans="1:20" x14ac:dyDescent="0.3">
      <c r="C26" s="24"/>
      <c r="D26" s="24"/>
      <c r="E26" s="25">
        <f t="shared" si="21"/>
        <v>0</v>
      </c>
      <c r="F26" s="26">
        <v>3.7</v>
      </c>
      <c r="G26" s="26">
        <v>4.2</v>
      </c>
      <c r="H26" s="25">
        <f t="shared" si="22"/>
        <v>0</v>
      </c>
      <c r="I26" s="26">
        <v>20</v>
      </c>
      <c r="J26" s="24"/>
      <c r="K26" s="27">
        <f t="shared" si="28"/>
        <v>0</v>
      </c>
      <c r="L26" s="28"/>
      <c r="M26" s="28"/>
      <c r="N26" s="25">
        <f>I26*D26</f>
        <v>0</v>
      </c>
      <c r="O26" s="26">
        <f t="shared" si="24"/>
        <v>10</v>
      </c>
      <c r="P26" s="25">
        <f t="shared" si="25"/>
        <v>0</v>
      </c>
      <c r="Q26" s="26">
        <v>185</v>
      </c>
      <c r="R26" s="26">
        <v>50</v>
      </c>
      <c r="S26" s="28">
        <f t="shared" si="26"/>
        <v>50</v>
      </c>
      <c r="T26" s="30">
        <f t="shared" si="27"/>
        <v>0</v>
      </c>
    </row>
    <row r="27" spans="1:20" x14ac:dyDescent="0.3">
      <c r="C27" s="24"/>
      <c r="D27" s="24"/>
      <c r="E27" s="25">
        <f t="shared" si="21"/>
        <v>0</v>
      </c>
      <c r="F27" s="26">
        <v>3.7</v>
      </c>
      <c r="G27" s="26">
        <v>4.2</v>
      </c>
      <c r="H27" s="25">
        <f t="shared" si="22"/>
        <v>0</v>
      </c>
      <c r="I27" s="26">
        <v>20</v>
      </c>
      <c r="J27" s="24"/>
      <c r="K27" s="27">
        <f t="shared" si="28"/>
        <v>0</v>
      </c>
      <c r="L27" s="28"/>
      <c r="M27" s="28"/>
      <c r="N27" s="25">
        <f>I27*D27</f>
        <v>0</v>
      </c>
      <c r="O27" s="26">
        <f t="shared" si="24"/>
        <v>10</v>
      </c>
      <c r="P27" s="25">
        <f t="shared" si="25"/>
        <v>0</v>
      </c>
      <c r="Q27" s="26">
        <v>185</v>
      </c>
      <c r="R27" s="26">
        <v>50</v>
      </c>
      <c r="S27" s="28">
        <f t="shared" si="26"/>
        <v>50</v>
      </c>
      <c r="T27" s="30">
        <f t="shared" si="27"/>
        <v>0</v>
      </c>
    </row>
  </sheetData>
  <conditionalFormatting sqref="T3:T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12:T1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2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24:T2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26:T27 T18:T20 T22:T2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11"/>
  <sheetViews>
    <sheetView workbookViewId="0">
      <selection activeCell="B4" sqref="B4"/>
    </sheetView>
  </sheetViews>
  <sheetFormatPr baseColWidth="10" defaultColWidth="11.21875" defaultRowHeight="14.4" x14ac:dyDescent="0.3"/>
  <cols>
    <col min="1" max="1" width="37" customWidth="1"/>
    <col min="2" max="2" width="13" customWidth="1"/>
  </cols>
  <sheetData>
    <row r="2" spans="1:3" x14ac:dyDescent="0.3">
      <c r="A2" t="s">
        <v>18</v>
      </c>
      <c r="B2" s="5">
        <v>2</v>
      </c>
      <c r="C2" t="s">
        <v>19</v>
      </c>
    </row>
    <row r="3" spans="1:3" x14ac:dyDescent="0.3">
      <c r="A3" t="s">
        <v>20</v>
      </c>
      <c r="B3" s="5">
        <v>7000</v>
      </c>
      <c r="C3" t="s">
        <v>21</v>
      </c>
    </row>
    <row r="4" spans="1:3" x14ac:dyDescent="0.3">
      <c r="A4" t="s">
        <v>22</v>
      </c>
      <c r="B4" s="5">
        <v>6</v>
      </c>
    </row>
    <row r="5" spans="1:3" x14ac:dyDescent="0.3">
      <c r="A5" t="s">
        <v>23</v>
      </c>
      <c r="B5" s="12">
        <f>B4*3.7</f>
        <v>22.200000000000003</v>
      </c>
      <c r="C5" t="s">
        <v>24</v>
      </c>
    </row>
    <row r="6" spans="1:3" x14ac:dyDescent="0.3">
      <c r="A6" t="s">
        <v>25</v>
      </c>
      <c r="B6" s="5">
        <v>1</v>
      </c>
    </row>
    <row r="7" spans="1:3" x14ac:dyDescent="0.3">
      <c r="A7" t="s">
        <v>26</v>
      </c>
      <c r="B7" s="12">
        <f>IF(B6=1,B2*B3,B3)</f>
        <v>14000</v>
      </c>
      <c r="C7" t="s">
        <v>21</v>
      </c>
    </row>
    <row r="8" spans="1:3" x14ac:dyDescent="0.3">
      <c r="A8" t="s">
        <v>27</v>
      </c>
      <c r="B8" s="13">
        <f>B7/1000*B11</f>
        <v>310.80000000000007</v>
      </c>
      <c r="C8" t="s">
        <v>28</v>
      </c>
    </row>
    <row r="9" spans="1:3" x14ac:dyDescent="0.3">
      <c r="A9" t="s">
        <v>29</v>
      </c>
      <c r="B9" s="14">
        <f>1/0.17</f>
        <v>5.8823529411764701</v>
      </c>
      <c r="C9" t="s">
        <v>30</v>
      </c>
    </row>
    <row r="10" spans="1:3" x14ac:dyDescent="0.3">
      <c r="A10" t="s">
        <v>31</v>
      </c>
      <c r="B10" s="13">
        <f>B8*B9</f>
        <v>1828.2352941176473</v>
      </c>
      <c r="C10" t="s">
        <v>32</v>
      </c>
    </row>
    <row r="11" spans="1:3" x14ac:dyDescent="0.3">
      <c r="A11" t="s">
        <v>33</v>
      </c>
      <c r="B11" s="12">
        <f>IF(B6=1,B5,B5* B2)</f>
        <v>22.200000000000003</v>
      </c>
      <c r="C11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Baterías LiPo</vt:lpstr>
      <vt:lpstr>Baterias Li-Ion</vt:lpstr>
      <vt:lpstr>Estimación de pesos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ACristobal</dc:creator>
  <cp:lastModifiedBy>miguel.rosa</cp:lastModifiedBy>
  <dcterms:created xsi:type="dcterms:W3CDTF">2015-01-29T12:39:11Z</dcterms:created>
  <dcterms:modified xsi:type="dcterms:W3CDTF">2023-09-29T07:09:41Z</dcterms:modified>
</cp:coreProperties>
</file>